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Exercise" sheetId="1" r:id="rId1"/>
  </sheets>
  <calcPr calcId="152511"/>
</workbook>
</file>

<file path=xl/calcChain.xml><?xml version="1.0" encoding="utf-8"?>
<calcChain xmlns="http://schemas.openxmlformats.org/spreadsheetml/2006/main">
  <c r="AF35" i="1" l="1"/>
  <c r="AD28" i="1"/>
  <c r="X40" i="1"/>
  <c r="AC30" i="1"/>
  <c r="AC31" i="1" s="1"/>
  <c r="AC32" i="1" s="1"/>
  <c r="AC33" i="1" s="1"/>
  <c r="AC34" i="1" s="1"/>
  <c r="AC35" i="1" s="1"/>
  <c r="AC29" i="1"/>
  <c r="AC28" i="1"/>
  <c r="W37" i="1" l="1"/>
  <c r="W33" i="1"/>
  <c r="W29" i="1"/>
  <c r="W28" i="1"/>
  <c r="W34" i="1" l="1"/>
  <c r="AD41" i="1"/>
  <c r="AD38" i="1"/>
  <c r="W38" i="1"/>
  <c r="AF28" i="1" l="1"/>
  <c r="AF29" i="1" s="1"/>
  <c r="AF30" i="1" s="1"/>
  <c r="W30" i="1"/>
  <c r="AD30" i="1"/>
  <c r="AD42" i="1"/>
  <c r="AF31" i="1" l="1"/>
  <c r="AF32" i="1" s="1"/>
  <c r="AF33" i="1" s="1"/>
  <c r="AF34" i="1" s="1"/>
  <c r="AG28" i="1"/>
  <c r="AH28" i="1" s="1"/>
  <c r="AD35" i="1"/>
  <c r="AD34" i="1"/>
  <c r="AD33" i="1"/>
  <c r="AD32" i="1"/>
  <c r="AD31" i="1"/>
  <c r="AD29" i="1"/>
  <c r="AG29" i="1" s="1"/>
  <c r="AH29" i="1" s="1"/>
  <c r="AG30" i="1" l="1"/>
  <c r="AH30" i="1" s="1"/>
  <c r="AE28" i="1" l="1"/>
  <c r="AG31" i="1"/>
  <c r="AH31" i="1" s="1"/>
  <c r="AG32" i="1" l="1"/>
  <c r="AH32" i="1" s="1"/>
  <c r="AE29" i="1" l="1"/>
  <c r="AG33" i="1"/>
  <c r="AH33" i="1" s="1"/>
  <c r="AE30" i="1" l="1"/>
  <c r="AG35" i="1"/>
  <c r="AH35" i="1" s="1"/>
  <c r="AG34" i="1"/>
  <c r="AH34" i="1" s="1"/>
  <c r="AH36" i="1" l="1"/>
  <c r="AE31" i="1" l="1"/>
  <c r="AE32" i="1" l="1"/>
  <c r="AE33" i="1" l="1"/>
  <c r="AE34" i="1" l="1"/>
  <c r="AE35" i="1" l="1"/>
  <c r="L29" i="1" l="1"/>
  <c r="W14" i="1"/>
  <c r="Q18" i="1"/>
  <c r="L34" i="1"/>
  <c r="L31" i="1"/>
  <c r="L32" i="1" s="1"/>
  <c r="L36" i="1" s="1"/>
  <c r="L30" i="1"/>
  <c r="S15" i="1"/>
  <c r="Q15" i="1"/>
  <c r="W12" i="1" s="1"/>
  <c r="W13" i="1" s="1"/>
  <c r="W15" i="1" s="1"/>
  <c r="I11" i="1"/>
  <c r="I10" i="1"/>
  <c r="I12" i="1" s="1"/>
  <c r="I13" i="1" s="1"/>
  <c r="L11" i="1" s="1"/>
  <c r="L12" i="1" s="1"/>
  <c r="I9" i="1"/>
  <c r="Q20" i="1" l="1"/>
  <c r="I14" i="1"/>
  <c r="Q21" i="1"/>
  <c r="L13" i="1"/>
  <c r="L14" i="1" s="1"/>
</calcChain>
</file>

<file path=xl/sharedStrings.xml><?xml version="1.0" encoding="utf-8"?>
<sst xmlns="http://schemas.openxmlformats.org/spreadsheetml/2006/main" count="91" uniqueCount="86">
  <si>
    <t>α=0.05</t>
  </si>
  <si>
    <t>Année</t>
  </si>
  <si>
    <r>
      <t>Q</t>
    </r>
    <r>
      <rPr>
        <b/>
        <vertAlign val="subscript"/>
        <sz val="11"/>
        <color theme="1"/>
        <rFont val="Calibri"/>
        <family val="2"/>
        <scheme val="minor"/>
      </rPr>
      <t>p</t>
    </r>
    <r>
      <rPr>
        <b/>
        <sz val="11"/>
        <color theme="1"/>
        <rFont val="Calibri"/>
        <family val="2"/>
        <scheme val="minor"/>
      </rPr>
      <t xml:space="preserve"> annuel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/s)</t>
    </r>
  </si>
  <si>
    <t>Serie</t>
  </si>
  <si>
    <t>Longueur</t>
  </si>
  <si>
    <t>Moyenne</t>
  </si>
  <si>
    <t>Mediane</t>
  </si>
  <si>
    <t>Ecart-Type</t>
  </si>
  <si>
    <t>Asymetrie</t>
  </si>
  <si>
    <t>Kurtosis</t>
  </si>
  <si>
    <t>1922-1963</t>
  </si>
  <si>
    <t>1964-1996</t>
  </si>
  <si>
    <t>1922-1996</t>
  </si>
  <si>
    <t>N=</t>
  </si>
  <si>
    <t>ecart-type</t>
  </si>
  <si>
    <t>Degre de liberte</t>
  </si>
  <si>
    <t>Student: t=</t>
  </si>
  <si>
    <r>
      <t>t</t>
    </r>
    <r>
      <rPr>
        <b/>
        <vertAlign val="subscript"/>
        <sz val="11"/>
        <color theme="1"/>
        <rFont val="Calibri"/>
        <family val="2"/>
        <scheme val="minor"/>
      </rPr>
      <t>observé</t>
    </r>
  </si>
  <si>
    <r>
      <t>t</t>
    </r>
    <r>
      <rPr>
        <b/>
        <vertAlign val="subscript"/>
        <sz val="11"/>
        <color theme="1"/>
        <rFont val="Calibri"/>
        <family val="2"/>
        <scheme val="minor"/>
      </rPr>
      <t>1</t>
    </r>
  </si>
  <si>
    <r>
      <t>μ</t>
    </r>
    <r>
      <rPr>
        <b/>
        <vertAlign val="subscript"/>
        <sz val="11"/>
        <color theme="1"/>
        <rFont val="Calibri"/>
        <family val="2"/>
      </rPr>
      <t>1</t>
    </r>
  </si>
  <si>
    <r>
      <t>μ</t>
    </r>
    <r>
      <rPr>
        <b/>
        <vertAlign val="subscript"/>
        <sz val="11"/>
        <color theme="1"/>
        <rFont val="Calibri"/>
        <family val="2"/>
      </rPr>
      <t>2</t>
    </r>
  </si>
  <si>
    <r>
      <t>t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</si>
  <si>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Question 1</t>
  </si>
  <si>
    <r>
      <t>H</t>
    </r>
    <r>
      <rPr>
        <b/>
        <sz val="8"/>
        <color theme="1"/>
        <rFont val="Calibri"/>
        <family val="2"/>
        <scheme val="minor"/>
      </rPr>
      <t xml:space="preserve">0 </t>
    </r>
    <r>
      <rPr>
        <b/>
        <sz val="11"/>
        <color theme="1"/>
        <rFont val="Calibri"/>
        <family val="2"/>
        <scheme val="minor"/>
      </rPr>
      <t>est verifié</t>
    </r>
  </si>
  <si>
    <r>
      <t>Donc t</t>
    </r>
    <r>
      <rPr>
        <vertAlign val="subscript"/>
        <sz val="11"/>
        <color theme="1"/>
        <rFont val="Calibri"/>
        <family val="2"/>
        <scheme val="minor"/>
      </rPr>
      <t>observé</t>
    </r>
    <r>
      <rPr>
        <sz val="11"/>
        <color theme="1"/>
        <rFont val="Calibri"/>
        <family val="2"/>
        <scheme val="minor"/>
      </rPr>
      <t xml:space="preserve"> se trouve dans l'intervalle [-2.01,+2.01]</t>
    </r>
  </si>
  <si>
    <t>Question 2</t>
  </si>
  <si>
    <t>Test de Fisher</t>
  </si>
  <si>
    <t>Test d'egalité des moyennes</t>
  </si>
  <si>
    <r>
      <t>Y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bar</t>
    </r>
  </si>
  <si>
    <r>
      <t>Y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bar</t>
    </r>
  </si>
  <si>
    <r>
      <t>S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=</t>
    </r>
  </si>
  <si>
    <t>Ecart-type 1</t>
  </si>
  <si>
    <t>Ecart-type 2</t>
  </si>
  <si>
    <t>S=</t>
  </si>
  <si>
    <r>
      <t>N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=</t>
    </r>
  </si>
  <si>
    <r>
      <t>N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=</t>
    </r>
  </si>
  <si>
    <t>Student t</t>
  </si>
  <si>
    <t>Degre de liberte 1</t>
  </si>
  <si>
    <t>Degre de liberte 2</t>
  </si>
  <si>
    <r>
      <t>t</t>
    </r>
    <r>
      <rPr>
        <b/>
        <vertAlign val="subscript"/>
        <sz val="11"/>
        <color theme="1"/>
        <rFont val="Calibri"/>
        <family val="2"/>
        <scheme val="minor"/>
      </rPr>
      <t>observé</t>
    </r>
    <r>
      <rPr>
        <b/>
        <sz val="11"/>
        <color theme="1"/>
        <rFont val="Calibri"/>
        <family val="2"/>
        <scheme val="minor"/>
      </rPr>
      <t>=</t>
    </r>
  </si>
  <si>
    <r>
      <t>F=S1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/S2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</si>
  <si>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Hypothese n'est pas verifié; Pas d'egalite des moyennes</t>
  </si>
  <si>
    <r>
      <t>car t</t>
    </r>
    <r>
      <rPr>
        <vertAlign val="subscript"/>
        <sz val="11"/>
        <color theme="1"/>
        <rFont val="Calibri"/>
        <family val="2"/>
        <scheme val="minor"/>
      </rPr>
      <t>observé</t>
    </r>
    <r>
      <rPr>
        <sz val="11"/>
        <color theme="1"/>
        <rFont val="Calibri"/>
        <family val="2"/>
        <scheme val="minor"/>
      </rPr>
      <t xml:space="preserve"> n'appartient pas a l'intervalle [-1.66,1.66]</t>
    </r>
  </si>
  <si>
    <t>F1</t>
  </si>
  <si>
    <t>F2</t>
  </si>
  <si>
    <r>
      <t>F est compris entre F1 et F2 alors H</t>
    </r>
    <r>
      <rPr>
        <sz val="8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est accepté ( variances egaux)</t>
    </r>
  </si>
  <si>
    <t>Alors on a egalité de variance et pas de la moyenne</t>
  </si>
  <si>
    <t>Question 4</t>
  </si>
  <si>
    <t>Rang</t>
  </si>
  <si>
    <r>
      <t>V(W</t>
    </r>
    <r>
      <rPr>
        <b/>
        <vertAlign val="subscript"/>
        <sz val="11"/>
        <color theme="1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>)</t>
    </r>
    <r>
      <rPr>
        <b/>
        <vertAlign val="superscript"/>
        <sz val="11"/>
        <color theme="1"/>
        <rFont val="Calibri"/>
        <family val="2"/>
        <scheme val="minor"/>
      </rPr>
      <t>0.5</t>
    </r>
  </si>
  <si>
    <t>On calcule</t>
  </si>
  <si>
    <t>On peut conclure qu'apres la mise du barrage les donnes ne sont plus homogenes</t>
  </si>
  <si>
    <r>
      <t>U</t>
    </r>
    <r>
      <rPr>
        <b/>
        <vertAlign val="subscript"/>
        <sz val="11"/>
        <color theme="1"/>
        <rFont val="Calibri"/>
        <family val="2"/>
        <scheme val="minor"/>
      </rPr>
      <t>0.975</t>
    </r>
  </si>
  <si>
    <t>Test de Mann-Whitney-Wilcoxon</t>
  </si>
  <si>
    <t>Debit</t>
  </si>
  <si>
    <t>Y bar=</t>
  </si>
  <si>
    <r>
      <t>W</t>
    </r>
    <r>
      <rPr>
        <b/>
        <vertAlign val="subscript"/>
        <sz val="11"/>
        <color theme="1"/>
        <rFont val="Calibri"/>
        <family val="2"/>
        <scheme val="minor"/>
      </rPr>
      <t>x</t>
    </r>
  </si>
  <si>
    <r>
      <t>E(W</t>
    </r>
    <r>
      <rPr>
        <b/>
        <vertAlign val="subscript"/>
        <sz val="11"/>
        <color theme="1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>)</t>
    </r>
  </si>
  <si>
    <r>
      <t>V(W</t>
    </r>
    <r>
      <rPr>
        <b/>
        <vertAlign val="subscript"/>
        <sz val="11"/>
        <color theme="1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>)</t>
    </r>
  </si>
  <si>
    <r>
      <t xml:space="preserve">Donc on rejete H0 avec </t>
    </r>
    <r>
      <rPr>
        <b/>
        <sz val="11"/>
        <color theme="1"/>
        <rFont val="Calibri"/>
        <family val="2"/>
      </rPr>
      <t>α=0.05</t>
    </r>
  </si>
  <si>
    <t>Test de la moyenne avec ecart-type inconnu</t>
  </si>
  <si>
    <t>Question 3</t>
  </si>
  <si>
    <t>k=</t>
  </si>
  <si>
    <r>
      <t>ν</t>
    </r>
    <r>
      <rPr>
        <b/>
        <vertAlign val="subscript"/>
        <sz val="11"/>
        <color theme="1"/>
        <rFont val="Calibri"/>
        <family val="2"/>
      </rPr>
      <t>i</t>
    </r>
  </si>
  <si>
    <r>
      <t>n</t>
    </r>
    <r>
      <rPr>
        <b/>
        <vertAlign val="subscript"/>
        <sz val="11"/>
        <color theme="1"/>
        <rFont val="Calibri"/>
        <family val="2"/>
        <scheme val="minor"/>
      </rPr>
      <t>i</t>
    </r>
  </si>
  <si>
    <t>Ecart-type</t>
  </si>
  <si>
    <t>Max</t>
  </si>
  <si>
    <t>Min</t>
  </si>
  <si>
    <t>P1</t>
  </si>
  <si>
    <t>Z1</t>
  </si>
  <si>
    <t>pour 0.05</t>
  </si>
  <si>
    <t>Z2</t>
  </si>
  <si>
    <t>pour 0.01</t>
  </si>
  <si>
    <t>Donc la serie des debit de pointe suit une distribution normale</t>
  </si>
  <si>
    <r>
      <t>(n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-ν</t>
    </r>
    <r>
      <rPr>
        <b/>
        <vertAlign val="subscript"/>
        <sz val="11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)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</si>
  <si>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Z</t>
  </si>
  <si>
    <t>Somme des Z</t>
  </si>
  <si>
    <t>N</t>
  </si>
  <si>
    <t>Test de chi-Carré</t>
  </si>
  <si>
    <t>Largeur de l'intervalle</t>
  </si>
  <si>
    <r>
      <rPr>
        <b/>
        <sz val="11"/>
        <color theme="1"/>
        <rFont val="Calibri"/>
        <family val="2"/>
      </rPr>
      <t>ν</t>
    </r>
    <r>
      <rPr>
        <b/>
        <vertAlign val="subscript"/>
        <sz val="11"/>
        <color theme="1"/>
        <rFont val="Calibri"/>
        <family val="2"/>
      </rPr>
      <t>i</t>
    </r>
    <r>
      <rPr>
        <b/>
        <sz val="11"/>
        <color theme="1"/>
        <rFont val="Calibri"/>
        <family val="2"/>
        <scheme val="minor"/>
      </rPr>
      <t>=N/k</t>
    </r>
  </si>
  <si>
    <t>ν=k-p-1</t>
  </si>
  <si>
    <t>Or Z est inferieur a Z1 , la loi est satisfaisante pour representer l'échantillon</t>
  </si>
  <si>
    <t>P8</t>
  </si>
  <si>
    <t>Fréquence empirique</t>
  </si>
  <si>
    <t xml:space="preserve">Débit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</si>
</sst>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2"/>
  <sheetViews>
    <sheetView tabSelected="1" view="pageLayout" zoomScaleNormal="100" workbookViewId="0">
      <selection activeCell="W22" sqref="W21:W22"/>
    </sheetView>
  </sheetViews>
  <sheetFormatPr defaultColWidth="9.109375" defaultRowHeight="14.4" x14ac:dyDescent="0.3"/>
  <cols>
    <col min="1" max="6" width="9.109375" style="4"/>
    <col min="7" max="7" width="10.5546875" style="4" bestFit="1" customWidth="1"/>
    <col min="8" max="8" width="15.5546875" style="4" bestFit="1" customWidth="1"/>
    <col min="9" max="9" width="9.109375" style="4"/>
    <col min="10" max="10" width="9.5546875" style="4" bestFit="1" customWidth="1"/>
    <col min="11" max="11" width="10.109375" style="4" bestFit="1" customWidth="1"/>
    <col min="12" max="12" width="10.33203125" style="4" bestFit="1" customWidth="1"/>
    <col min="13" max="13" width="10.109375" style="4" bestFit="1" customWidth="1"/>
    <col min="14" max="14" width="9.109375" style="4"/>
    <col min="15" max="15" width="10.5546875" style="4" bestFit="1" customWidth="1"/>
    <col min="16" max="16" width="17" style="4" bestFit="1" customWidth="1"/>
    <col min="17" max="17" width="10.5546875" style="4" customWidth="1"/>
    <col min="18" max="18" width="10.88671875" style="4" customWidth="1"/>
    <col min="19" max="19" width="9.109375" style="4" customWidth="1"/>
    <col min="20" max="20" width="11.33203125" style="4" customWidth="1"/>
    <col min="21" max="21" width="9.109375" style="4"/>
    <col min="22" max="22" width="13.44140625" style="4" bestFit="1" customWidth="1"/>
    <col min="23" max="23" width="10.33203125" style="4" customWidth="1"/>
    <col min="24" max="28" width="9.109375" style="4"/>
    <col min="29" max="29" width="12.5546875" style="4" customWidth="1"/>
    <col min="30" max="30" width="9.109375" style="4"/>
    <col min="31" max="31" width="12" style="4" bestFit="1" customWidth="1"/>
    <col min="32" max="32" width="11.109375" style="4" bestFit="1" customWidth="1"/>
    <col min="33" max="33" width="12.6640625" style="4" bestFit="1" customWidth="1"/>
    <col min="34" max="34" width="15.5546875" style="4" customWidth="1"/>
    <col min="35" max="35" width="12.6640625" style="4" bestFit="1" customWidth="1"/>
    <col min="36" max="36" width="10.6640625" style="4" customWidth="1"/>
    <col min="37" max="16384" width="9.109375" style="4"/>
  </cols>
  <sheetData>
    <row r="1" spans="1:24" ht="46.2" x14ac:dyDescent="0.3">
      <c r="A1" s="1" t="s">
        <v>0</v>
      </c>
      <c r="B1" s="2" t="s">
        <v>1</v>
      </c>
      <c r="C1" s="3" t="s">
        <v>2</v>
      </c>
      <c r="D1" s="2" t="s">
        <v>1</v>
      </c>
      <c r="E1" s="3" t="s">
        <v>2</v>
      </c>
    </row>
    <row r="2" spans="1:24" x14ac:dyDescent="0.3">
      <c r="B2" s="2">
        <v>1922</v>
      </c>
      <c r="C2" s="5">
        <v>240</v>
      </c>
      <c r="D2" s="2">
        <v>1964</v>
      </c>
      <c r="E2" s="5">
        <v>125</v>
      </c>
      <c r="H2" s="2" t="s">
        <v>3</v>
      </c>
      <c r="I2" s="2" t="s">
        <v>4</v>
      </c>
      <c r="J2" s="2" t="s">
        <v>5</v>
      </c>
      <c r="K2" s="2" t="s">
        <v>6</v>
      </c>
      <c r="L2" s="2" t="s">
        <v>7</v>
      </c>
      <c r="M2" s="2" t="s">
        <v>8</v>
      </c>
      <c r="N2" s="2" t="s">
        <v>9</v>
      </c>
    </row>
    <row r="3" spans="1:24" x14ac:dyDescent="0.3">
      <c r="B3" s="2">
        <v>1923</v>
      </c>
      <c r="C3" s="5">
        <v>171</v>
      </c>
      <c r="D3" s="2">
        <v>1965</v>
      </c>
      <c r="E3" s="5">
        <v>115</v>
      </c>
      <c r="H3" s="2" t="s">
        <v>10</v>
      </c>
      <c r="I3" s="5">
        <v>42</v>
      </c>
      <c r="J3" s="5">
        <v>190.26</v>
      </c>
      <c r="K3" s="5">
        <v>176</v>
      </c>
      <c r="L3" s="5">
        <v>48.52</v>
      </c>
      <c r="M3" s="5">
        <v>1.47</v>
      </c>
      <c r="N3" s="5">
        <v>2.88</v>
      </c>
    </row>
    <row r="4" spans="1:24" x14ac:dyDescent="0.3">
      <c r="B4" s="2">
        <v>1924</v>
      </c>
      <c r="C4" s="5">
        <v>186</v>
      </c>
      <c r="D4" s="2">
        <v>1966</v>
      </c>
      <c r="E4" s="5">
        <v>100</v>
      </c>
      <c r="H4" s="2" t="s">
        <v>11</v>
      </c>
      <c r="I4" s="5">
        <v>33</v>
      </c>
      <c r="J4" s="5">
        <v>117.27</v>
      </c>
      <c r="K4" s="5">
        <v>110</v>
      </c>
      <c r="L4" s="5">
        <v>55.51</v>
      </c>
      <c r="M4" s="5">
        <v>2.4700000000000002</v>
      </c>
      <c r="N4" s="5">
        <v>6.54</v>
      </c>
    </row>
    <row r="5" spans="1:24" x14ac:dyDescent="0.3">
      <c r="B5" s="2">
        <v>1925</v>
      </c>
      <c r="C5" s="5">
        <v>158</v>
      </c>
      <c r="D5" s="2">
        <v>1967</v>
      </c>
      <c r="E5" s="5">
        <v>85</v>
      </c>
      <c r="H5" s="2" t="s">
        <v>12</v>
      </c>
      <c r="I5" s="5">
        <v>75</v>
      </c>
      <c r="J5" s="5">
        <v>158.13999999999999</v>
      </c>
      <c r="K5" s="5">
        <v>150</v>
      </c>
      <c r="L5" s="5">
        <v>62.99</v>
      </c>
      <c r="M5" s="5">
        <v>0.9</v>
      </c>
      <c r="N5" s="5">
        <v>0.96</v>
      </c>
    </row>
    <row r="6" spans="1:24" x14ac:dyDescent="0.3">
      <c r="B6" s="2">
        <v>1926</v>
      </c>
      <c r="C6" s="5">
        <v>138</v>
      </c>
      <c r="D6" s="2">
        <v>1968</v>
      </c>
      <c r="E6" s="5">
        <v>76</v>
      </c>
    </row>
    <row r="7" spans="1:24" x14ac:dyDescent="0.3">
      <c r="B7" s="2">
        <v>1927</v>
      </c>
      <c r="C7" s="5">
        <v>179</v>
      </c>
      <c r="D7" s="2">
        <v>1969</v>
      </c>
      <c r="E7" s="5">
        <v>110</v>
      </c>
    </row>
    <row r="8" spans="1:24" x14ac:dyDescent="0.3">
      <c r="B8" s="2">
        <v>1928</v>
      </c>
      <c r="C8" s="5">
        <v>200</v>
      </c>
      <c r="D8" s="2">
        <v>1970</v>
      </c>
      <c r="E8" s="5">
        <v>94</v>
      </c>
      <c r="G8" s="2" t="s">
        <v>22</v>
      </c>
      <c r="H8" s="24" t="s">
        <v>60</v>
      </c>
      <c r="I8" s="24"/>
      <c r="J8" s="24"/>
      <c r="K8" s="24"/>
      <c r="L8" s="24"/>
      <c r="O8" s="2" t="s">
        <v>25</v>
      </c>
    </row>
    <row r="9" spans="1:24" x14ac:dyDescent="0.3">
      <c r="B9" s="2">
        <v>1929</v>
      </c>
      <c r="C9" s="5">
        <v>179</v>
      </c>
      <c r="D9" s="2">
        <v>1971</v>
      </c>
      <c r="E9" s="5">
        <v>150</v>
      </c>
      <c r="H9" s="6" t="s">
        <v>55</v>
      </c>
      <c r="I9" s="7">
        <f>J3</f>
        <v>190.26</v>
      </c>
      <c r="P9" s="10" t="s">
        <v>26</v>
      </c>
      <c r="V9" s="24" t="s">
        <v>27</v>
      </c>
      <c r="W9" s="24"/>
      <c r="X9" s="24"/>
    </row>
    <row r="10" spans="1:24" x14ac:dyDescent="0.3">
      <c r="B10" s="2">
        <v>1930</v>
      </c>
      <c r="C10" s="5">
        <v>162</v>
      </c>
      <c r="D10" s="2">
        <v>1972</v>
      </c>
      <c r="E10" s="5">
        <v>140</v>
      </c>
      <c r="H10" s="2" t="s">
        <v>13</v>
      </c>
      <c r="I10" s="5">
        <f>COUNT(C2:C43)</f>
        <v>42</v>
      </c>
    </row>
    <row r="11" spans="1:24" ht="15.6" x14ac:dyDescent="0.3">
      <c r="B11" s="2">
        <v>1931</v>
      </c>
      <c r="C11" s="5">
        <v>234</v>
      </c>
      <c r="D11" s="2">
        <v>1973</v>
      </c>
      <c r="E11" s="5">
        <v>115</v>
      </c>
      <c r="H11" s="2" t="s">
        <v>14</v>
      </c>
      <c r="I11" s="5">
        <f>L3</f>
        <v>48.52</v>
      </c>
      <c r="K11" s="2" t="s">
        <v>18</v>
      </c>
      <c r="L11" s="5">
        <f>I13</f>
        <v>2.0195409704413767</v>
      </c>
    </row>
    <row r="12" spans="1:24" ht="16.2" x14ac:dyDescent="0.3">
      <c r="B12" s="2">
        <v>1932</v>
      </c>
      <c r="C12" s="5">
        <v>148</v>
      </c>
      <c r="D12" s="2">
        <v>1974</v>
      </c>
      <c r="E12" s="5">
        <v>87</v>
      </c>
      <c r="H12" s="2" t="s">
        <v>15</v>
      </c>
      <c r="I12" s="5">
        <f>I10-1</f>
        <v>41</v>
      </c>
      <c r="K12" s="1" t="s">
        <v>19</v>
      </c>
      <c r="L12" s="5">
        <f>$I$9-L11*SQRT((($I$11)^2)/$I$10)</f>
        <v>175.14010361070476</v>
      </c>
      <c r="P12" s="2" t="s">
        <v>28</v>
      </c>
      <c r="Q12" s="5">
        <v>190.26</v>
      </c>
      <c r="R12" s="2" t="s">
        <v>29</v>
      </c>
      <c r="S12" s="5">
        <v>117.27</v>
      </c>
      <c r="V12" s="2" t="s">
        <v>30</v>
      </c>
      <c r="W12" s="5">
        <f>((Q15*(Q13^2))+(S15*(S13^2)))/(Q14+S14-2)</f>
        <v>2672.9497205479452</v>
      </c>
    </row>
    <row r="13" spans="1:24" ht="15.6" x14ac:dyDescent="0.3">
      <c r="B13" s="2">
        <v>1933</v>
      </c>
      <c r="C13" s="5">
        <v>177</v>
      </c>
      <c r="D13" s="2">
        <v>1975</v>
      </c>
      <c r="E13" s="5">
        <v>105</v>
      </c>
      <c r="H13" s="2" t="s">
        <v>16</v>
      </c>
      <c r="I13" s="5">
        <f>TINV(0.05,I12)</f>
        <v>2.0195409704413767</v>
      </c>
      <c r="K13" s="1" t="s">
        <v>20</v>
      </c>
      <c r="L13" s="5">
        <f>$I$9+L11*SQRT((($I$11)^2)/$I$10)</f>
        <v>205.37989638929523</v>
      </c>
      <c r="P13" s="2" t="s">
        <v>31</v>
      </c>
      <c r="Q13" s="5">
        <v>48.52</v>
      </c>
      <c r="R13" s="2" t="s">
        <v>32</v>
      </c>
      <c r="S13" s="5">
        <v>55.51</v>
      </c>
      <c r="V13" s="2" t="s">
        <v>33</v>
      </c>
      <c r="W13" s="5">
        <f>SQRT(W12)</f>
        <v>51.70057756493582</v>
      </c>
    </row>
    <row r="14" spans="1:24" ht="15.6" x14ac:dyDescent="0.3">
      <c r="B14" s="2">
        <v>1934</v>
      </c>
      <c r="C14" s="5">
        <v>199</v>
      </c>
      <c r="D14" s="2">
        <v>1976</v>
      </c>
      <c r="E14" s="5">
        <v>92</v>
      </c>
      <c r="H14" s="2" t="s">
        <v>17</v>
      </c>
      <c r="I14" s="5">
        <f>(I9-200)/SQRT((I11^2)/I10)</f>
        <v>-1.3009566035138624</v>
      </c>
      <c r="K14" s="2" t="s">
        <v>21</v>
      </c>
      <c r="L14" s="5">
        <f>(I9-L13)/SQRT((I11^2)/I10)</f>
        <v>-2.019540970441378</v>
      </c>
      <c r="P14" s="2" t="s">
        <v>34</v>
      </c>
      <c r="Q14" s="5">
        <v>42</v>
      </c>
      <c r="R14" s="2" t="s">
        <v>35</v>
      </c>
      <c r="S14" s="5">
        <v>33</v>
      </c>
      <c r="V14" s="2" t="s">
        <v>36</v>
      </c>
      <c r="W14" s="5">
        <f>_xlfn.T.INV(0.05,73)</f>
        <v>-1.6659962237714305</v>
      </c>
    </row>
    <row r="15" spans="1:24" ht="15.6" x14ac:dyDescent="0.3">
      <c r="B15" s="2">
        <v>1935</v>
      </c>
      <c r="C15" s="5">
        <v>240</v>
      </c>
      <c r="D15" s="2">
        <v>1977</v>
      </c>
      <c r="E15" s="5">
        <v>88</v>
      </c>
      <c r="P15" s="2" t="s">
        <v>37</v>
      </c>
      <c r="Q15" s="5">
        <f>Q14-1</f>
        <v>41</v>
      </c>
      <c r="R15" s="2" t="s">
        <v>38</v>
      </c>
      <c r="S15" s="5">
        <f>S14-1</f>
        <v>32</v>
      </c>
      <c r="V15" s="2" t="s">
        <v>39</v>
      </c>
      <c r="W15" s="5">
        <f>(Q12-S12)/(SQRT((1/Q14)+(1/S14))*W13)</f>
        <v>6.0690253611648872</v>
      </c>
    </row>
    <row r="16" spans="1:24" ht="15.6" x14ac:dyDescent="0.3">
      <c r="B16" s="2">
        <v>1936</v>
      </c>
      <c r="C16" s="5">
        <v>170</v>
      </c>
      <c r="D16" s="2">
        <v>1978</v>
      </c>
      <c r="E16" s="5">
        <v>143</v>
      </c>
      <c r="H16" s="25" t="s">
        <v>24</v>
      </c>
      <c r="I16" s="25"/>
      <c r="J16" s="25"/>
      <c r="K16" s="25"/>
      <c r="L16" s="25"/>
    </row>
    <row r="17" spans="2:34" x14ac:dyDescent="0.3">
      <c r="B17" s="2">
        <v>1937</v>
      </c>
      <c r="C17" s="5">
        <v>145</v>
      </c>
      <c r="D17" s="2">
        <v>1979</v>
      </c>
      <c r="E17" s="5">
        <v>89</v>
      </c>
      <c r="H17" s="28" t="s">
        <v>23</v>
      </c>
      <c r="I17" s="28"/>
      <c r="J17" s="28"/>
      <c r="U17" s="25" t="s">
        <v>41</v>
      </c>
      <c r="V17" s="25"/>
      <c r="W17" s="25"/>
      <c r="X17" s="25"/>
      <c r="Y17" s="25"/>
    </row>
    <row r="18" spans="2:34" ht="16.2" x14ac:dyDescent="0.3">
      <c r="B18" s="2">
        <v>1938</v>
      </c>
      <c r="C18" s="5">
        <v>210</v>
      </c>
      <c r="D18" s="2">
        <v>1980</v>
      </c>
      <c r="E18" s="5">
        <v>100</v>
      </c>
      <c r="P18" s="2" t="s">
        <v>40</v>
      </c>
      <c r="Q18" s="5">
        <f>(Q13^2)/(S13^2)</f>
        <v>0.76401015252972238</v>
      </c>
      <c r="U18" s="25" t="s">
        <v>42</v>
      </c>
      <c r="V18" s="25"/>
      <c r="W18" s="25"/>
      <c r="X18" s="25"/>
      <c r="Y18" s="25"/>
    </row>
    <row r="19" spans="2:34" x14ac:dyDescent="0.3">
      <c r="B19" s="2">
        <v>1939</v>
      </c>
      <c r="C19" s="5">
        <v>250</v>
      </c>
      <c r="D19" s="2">
        <v>1981</v>
      </c>
      <c r="E19" s="5">
        <v>168</v>
      </c>
    </row>
    <row r="20" spans="2:34" x14ac:dyDescent="0.3">
      <c r="B20" s="2">
        <v>1940</v>
      </c>
      <c r="C20" s="5">
        <v>145</v>
      </c>
      <c r="D20" s="2">
        <v>1982</v>
      </c>
      <c r="E20" s="5">
        <v>120</v>
      </c>
      <c r="P20" s="2" t="s">
        <v>43</v>
      </c>
      <c r="Q20" s="5">
        <f>FINV(0.05,Q15,S15)</f>
        <v>1.7632003335851394</v>
      </c>
    </row>
    <row r="21" spans="2:34" x14ac:dyDescent="0.3">
      <c r="B21" s="2">
        <v>1941</v>
      </c>
      <c r="C21" s="5">
        <v>160</v>
      </c>
      <c r="D21" s="2">
        <v>1983</v>
      </c>
      <c r="E21" s="5">
        <v>123</v>
      </c>
      <c r="P21" s="2" t="s">
        <v>44</v>
      </c>
      <c r="Q21" s="5">
        <f>1/(FINV(0.05,Q15,S15))</f>
        <v>0.56715052790778819</v>
      </c>
    </row>
    <row r="22" spans="2:34" x14ac:dyDescent="0.3">
      <c r="B22" s="2">
        <v>1942</v>
      </c>
      <c r="C22" s="5">
        <v>150</v>
      </c>
      <c r="D22" s="2">
        <v>1984</v>
      </c>
      <c r="E22" s="5">
        <v>99</v>
      </c>
    </row>
    <row r="23" spans="2:34" x14ac:dyDescent="0.3">
      <c r="B23" s="2">
        <v>1943</v>
      </c>
      <c r="C23" s="5">
        <v>260</v>
      </c>
      <c r="D23" s="2">
        <v>1985</v>
      </c>
      <c r="E23" s="5">
        <v>89</v>
      </c>
      <c r="P23" s="25" t="s">
        <v>45</v>
      </c>
      <c r="Q23" s="25"/>
      <c r="R23" s="25"/>
      <c r="S23" s="25"/>
      <c r="T23" s="25"/>
      <c r="V23" s="26" t="s">
        <v>46</v>
      </c>
      <c r="W23" s="26"/>
      <c r="X23" s="26"/>
      <c r="Y23" s="26"/>
      <c r="Z23" s="26"/>
    </row>
    <row r="24" spans="2:34" x14ac:dyDescent="0.3">
      <c r="B24" s="2">
        <v>1944</v>
      </c>
      <c r="C24" s="5">
        <v>235</v>
      </c>
      <c r="D24" s="2">
        <v>1986</v>
      </c>
      <c r="E24" s="5">
        <v>125</v>
      </c>
    </row>
    <row r="25" spans="2:34" x14ac:dyDescent="0.3">
      <c r="B25" s="2">
        <v>1945</v>
      </c>
      <c r="C25" s="5">
        <v>245</v>
      </c>
      <c r="D25" s="2">
        <v>1987</v>
      </c>
      <c r="E25" s="5">
        <v>285</v>
      </c>
    </row>
    <row r="26" spans="2:34" x14ac:dyDescent="0.3">
      <c r="B26" s="2">
        <v>1946</v>
      </c>
      <c r="C26" s="5">
        <v>155</v>
      </c>
      <c r="D26" s="2">
        <v>1988</v>
      </c>
      <c r="E26" s="5">
        <v>105</v>
      </c>
      <c r="G26" s="2" t="s">
        <v>47</v>
      </c>
      <c r="H26" s="24" t="s">
        <v>53</v>
      </c>
      <c r="I26" s="24"/>
      <c r="J26" s="24"/>
      <c r="K26" s="24"/>
      <c r="Q26" s="14" t="s">
        <v>61</v>
      </c>
      <c r="R26" s="24" t="s">
        <v>78</v>
      </c>
      <c r="S26" s="24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2:34" ht="28.8" x14ac:dyDescent="0.3">
      <c r="B27" s="2">
        <v>1947</v>
      </c>
      <c r="C27" s="5">
        <v>210</v>
      </c>
      <c r="D27" s="2">
        <v>1989</v>
      </c>
      <c r="E27" s="5">
        <v>110</v>
      </c>
      <c r="H27" s="2" t="s">
        <v>54</v>
      </c>
      <c r="I27" s="2" t="s">
        <v>48</v>
      </c>
      <c r="R27" s="14" t="s">
        <v>48</v>
      </c>
      <c r="S27" s="14" t="s">
        <v>54</v>
      </c>
      <c r="T27" s="8"/>
      <c r="U27" s="8"/>
      <c r="V27" s="12" t="s">
        <v>62</v>
      </c>
      <c r="W27" s="5">
        <v>8</v>
      </c>
      <c r="X27" s="8"/>
      <c r="Y27" s="8"/>
      <c r="Z27" s="8"/>
      <c r="AA27" s="8"/>
      <c r="AB27" s="15" t="s">
        <v>77</v>
      </c>
      <c r="AC27" s="17" t="s">
        <v>84</v>
      </c>
      <c r="AD27" s="16" t="s">
        <v>63</v>
      </c>
      <c r="AE27" s="15" t="s">
        <v>85</v>
      </c>
      <c r="AF27" s="15" t="s">
        <v>64</v>
      </c>
      <c r="AG27" s="15" t="s">
        <v>74</v>
      </c>
      <c r="AH27" s="15" t="s">
        <v>75</v>
      </c>
    </row>
    <row r="28" spans="2:34" ht="15.6" x14ac:dyDescent="0.3">
      <c r="B28" s="2">
        <v>1948</v>
      </c>
      <c r="C28" s="5">
        <v>375</v>
      </c>
      <c r="D28" s="2">
        <v>1990</v>
      </c>
      <c r="E28" s="5">
        <v>110</v>
      </c>
      <c r="H28" s="5">
        <v>49</v>
      </c>
      <c r="I28" s="5">
        <v>1</v>
      </c>
      <c r="R28" s="13">
        <v>1</v>
      </c>
      <c r="S28" s="13">
        <v>49</v>
      </c>
      <c r="T28" s="8"/>
      <c r="U28" s="8"/>
      <c r="V28" s="12" t="s">
        <v>80</v>
      </c>
      <c r="W28" s="5">
        <f>COUNT(S28:S102)/W27</f>
        <v>9.375</v>
      </c>
      <c r="X28" s="8"/>
      <c r="Y28" s="8"/>
      <c r="Z28" s="8"/>
      <c r="AA28" s="8"/>
      <c r="AB28" s="5">
        <v>1</v>
      </c>
      <c r="AC28" s="5">
        <f>W37+$X$40</f>
        <v>0.16134512768387588</v>
      </c>
      <c r="AD28" s="5">
        <f>$W$28</f>
        <v>9.375</v>
      </c>
      <c r="AE28" s="5">
        <f t="shared" ref="AE28:AE35" si="0">NORMINV(AC28,$W$29,$W$30)</f>
        <v>95.846380637104602</v>
      </c>
      <c r="AF28" s="5">
        <f>COUNTIF(S28:S102,"&lt;=95.84")</f>
        <v>11</v>
      </c>
      <c r="AG28" s="5">
        <f t="shared" ref="AG28:AG35" si="1">(AF28-AD28)^2</f>
        <v>2.640625</v>
      </c>
      <c r="AH28" s="5">
        <f t="shared" ref="AH28:AH35" si="2">AG28/AD28</f>
        <v>0.28166666666666668</v>
      </c>
    </row>
    <row r="29" spans="2:34" ht="15.6" x14ac:dyDescent="0.3">
      <c r="B29" s="2">
        <v>1949</v>
      </c>
      <c r="C29" s="5">
        <v>175</v>
      </c>
      <c r="D29" s="2">
        <v>1991</v>
      </c>
      <c r="E29" s="5">
        <v>115</v>
      </c>
      <c r="H29" s="5">
        <v>55</v>
      </c>
      <c r="I29" s="5">
        <v>2</v>
      </c>
      <c r="K29" s="2" t="s">
        <v>56</v>
      </c>
      <c r="L29" s="5">
        <f>I55+I56+I57+I58+I61+I62+I63+I64+I65+I66+I68+I69+I70+I71+I72+I73+I74+I76+I77+I78+I79+I80+I81+I82+I83+I84+I85+I86+I87+I88+I89+I90+I91+I92+I93+I94+I95+I96+I97+I98+I99+I102</f>
        <v>2172</v>
      </c>
      <c r="R29" s="13">
        <v>2</v>
      </c>
      <c r="S29" s="13">
        <v>55</v>
      </c>
      <c r="T29" s="8"/>
      <c r="U29" s="8"/>
      <c r="V29" s="12" t="s">
        <v>5</v>
      </c>
      <c r="W29" s="5">
        <f>J5</f>
        <v>158.13999999999999</v>
      </c>
      <c r="X29" s="8"/>
      <c r="Y29" s="8"/>
      <c r="Z29" s="8"/>
      <c r="AA29" s="8"/>
      <c r="AB29" s="5">
        <v>2</v>
      </c>
      <c r="AC29" s="5">
        <f>AC28+$X$40</f>
        <v>0.28111183861751343</v>
      </c>
      <c r="AD29" s="5">
        <f t="shared" ref="AD29:AD35" si="3">$W$28</f>
        <v>9.375</v>
      </c>
      <c r="AE29" s="5">
        <f t="shared" si="0"/>
        <v>121.63466451003301</v>
      </c>
      <c r="AF29" s="5">
        <f>COUNTIF(S28:S102,"&lt;=121.63")-AF28</f>
        <v>13</v>
      </c>
      <c r="AG29" s="5">
        <f t="shared" si="1"/>
        <v>13.140625</v>
      </c>
      <c r="AH29" s="5">
        <f t="shared" si="2"/>
        <v>1.4016666666666666</v>
      </c>
    </row>
    <row r="30" spans="2:34" ht="15.6" x14ac:dyDescent="0.3">
      <c r="B30" s="2">
        <v>1950</v>
      </c>
      <c r="C30" s="5">
        <v>175</v>
      </c>
      <c r="D30" s="2">
        <v>1992</v>
      </c>
      <c r="E30" s="5">
        <v>110</v>
      </c>
      <c r="H30" s="5">
        <v>63</v>
      </c>
      <c r="I30" s="5">
        <v>3</v>
      </c>
      <c r="K30" s="2" t="s">
        <v>57</v>
      </c>
      <c r="L30" s="5">
        <f>42*(42+33+1)/2</f>
        <v>1596</v>
      </c>
      <c r="R30" s="13">
        <v>3</v>
      </c>
      <c r="S30" s="13">
        <v>63</v>
      </c>
      <c r="T30" s="8"/>
      <c r="U30" s="8"/>
      <c r="V30" s="14" t="s">
        <v>65</v>
      </c>
      <c r="W30" s="5">
        <f>L5</f>
        <v>62.99</v>
      </c>
      <c r="X30" s="8"/>
      <c r="Y30" s="8"/>
      <c r="Z30" s="8"/>
      <c r="AA30" s="8"/>
      <c r="AB30" s="5">
        <v>3</v>
      </c>
      <c r="AC30" s="5">
        <f t="shared" ref="AC30:AC35" si="4">AC29+$X$40</f>
        <v>0.40087854955115099</v>
      </c>
      <c r="AD30" s="5">
        <f t="shared" si="3"/>
        <v>9.375</v>
      </c>
      <c r="AE30" s="5">
        <f t="shared" si="0"/>
        <v>142.32486519210778</v>
      </c>
      <c r="AF30" s="5">
        <f>COUNTIF(S28:S102,"&lt;=142.32")-AF29-AF28</f>
        <v>8</v>
      </c>
      <c r="AG30" s="5">
        <f t="shared" si="1"/>
        <v>1.890625</v>
      </c>
      <c r="AH30" s="5">
        <f t="shared" si="2"/>
        <v>0.20166666666666666</v>
      </c>
    </row>
    <row r="31" spans="2:34" ht="15.6" x14ac:dyDescent="0.3">
      <c r="B31" s="2">
        <v>1951</v>
      </c>
      <c r="C31" s="5">
        <v>185</v>
      </c>
      <c r="D31" s="2">
        <v>1993</v>
      </c>
      <c r="E31" s="5">
        <v>330</v>
      </c>
      <c r="H31" s="5">
        <v>76</v>
      </c>
      <c r="I31" s="5">
        <v>4</v>
      </c>
      <c r="K31" s="2" t="s">
        <v>58</v>
      </c>
      <c r="L31" s="5">
        <f>42*33*(42+33+1)/12</f>
        <v>8778</v>
      </c>
      <c r="R31" s="13">
        <v>4</v>
      </c>
      <c r="S31" s="13">
        <v>76</v>
      </c>
      <c r="T31" s="8"/>
      <c r="U31" s="8"/>
      <c r="V31" s="8"/>
      <c r="W31" s="8"/>
      <c r="X31" s="8"/>
      <c r="Y31" s="8"/>
      <c r="Z31" s="8"/>
      <c r="AA31" s="8"/>
      <c r="AB31" s="5">
        <v>4</v>
      </c>
      <c r="AC31" s="5">
        <f t="shared" si="4"/>
        <v>0.52064526048478854</v>
      </c>
      <c r="AD31" s="5">
        <f t="shared" si="3"/>
        <v>9.375</v>
      </c>
      <c r="AE31" s="5">
        <f t="shared" si="0"/>
        <v>161.4011884272056</v>
      </c>
      <c r="AF31" s="5">
        <f>COUNTIF(S28:S102,"&lt;=161.4")-AF30-AF29-AF28</f>
        <v>13</v>
      </c>
      <c r="AG31" s="5">
        <f t="shared" si="1"/>
        <v>13.140625</v>
      </c>
      <c r="AH31" s="5">
        <f t="shared" si="2"/>
        <v>1.4016666666666666</v>
      </c>
    </row>
    <row r="32" spans="2:34" ht="16.2" x14ac:dyDescent="0.3">
      <c r="B32" s="2">
        <v>1952</v>
      </c>
      <c r="C32" s="5">
        <v>140</v>
      </c>
      <c r="D32" s="2">
        <v>1994</v>
      </c>
      <c r="E32" s="5">
        <v>55</v>
      </c>
      <c r="H32" s="5">
        <v>85</v>
      </c>
      <c r="I32" s="5">
        <v>5</v>
      </c>
      <c r="K32" s="2" t="s">
        <v>49</v>
      </c>
      <c r="L32" s="5">
        <f>SQRT(L31)</f>
        <v>93.690981422973678</v>
      </c>
      <c r="R32" s="13">
        <v>5</v>
      </c>
      <c r="S32" s="13">
        <v>85</v>
      </c>
      <c r="T32" s="8"/>
      <c r="U32" s="8"/>
      <c r="X32" s="8"/>
      <c r="Y32" s="8"/>
      <c r="Z32" s="8"/>
      <c r="AA32" s="8"/>
      <c r="AB32" s="5">
        <v>5</v>
      </c>
      <c r="AC32" s="5">
        <f t="shared" si="4"/>
        <v>0.6404119714184261</v>
      </c>
      <c r="AD32" s="5">
        <f t="shared" si="3"/>
        <v>9.375</v>
      </c>
      <c r="AE32" s="5">
        <f t="shared" si="0"/>
        <v>180.78869650924182</v>
      </c>
      <c r="AF32" s="5">
        <f>COUNTIF(S28:S102,"&lt;=180.78")-AF31-AF30-AF29-AF28</f>
        <v>10</v>
      </c>
      <c r="AG32" s="5">
        <f t="shared" si="1"/>
        <v>0.390625</v>
      </c>
      <c r="AH32" s="5">
        <f t="shared" si="2"/>
        <v>4.1666666666666664E-2</v>
      </c>
    </row>
    <row r="33" spans="2:36" x14ac:dyDescent="0.3">
      <c r="B33" s="2">
        <v>1953</v>
      </c>
      <c r="C33" s="5">
        <v>165</v>
      </c>
      <c r="D33" s="2">
        <v>1995</v>
      </c>
      <c r="E33" s="5">
        <v>63</v>
      </c>
      <c r="H33" s="5">
        <v>87</v>
      </c>
      <c r="I33" s="5">
        <v>6</v>
      </c>
      <c r="R33" s="13">
        <v>6</v>
      </c>
      <c r="S33" s="13">
        <v>87</v>
      </c>
      <c r="T33" s="8"/>
      <c r="U33" s="8"/>
      <c r="V33" s="14" t="s">
        <v>67</v>
      </c>
      <c r="W33" s="5">
        <f>MIN(S28:S102)</f>
        <v>49</v>
      </c>
      <c r="X33" s="8"/>
      <c r="Y33" s="8"/>
      <c r="Z33" s="8"/>
      <c r="AA33" s="8"/>
      <c r="AB33" s="5">
        <v>6</v>
      </c>
      <c r="AC33" s="5">
        <f t="shared" si="4"/>
        <v>0.76017868235206365</v>
      </c>
      <c r="AD33" s="5">
        <f t="shared" si="3"/>
        <v>9.375</v>
      </c>
      <c r="AE33" s="5">
        <f t="shared" si="0"/>
        <v>202.66621090657412</v>
      </c>
      <c r="AF33" s="5">
        <f>COUNTIF(S28:S102,"&lt;=202.66")-AF32-AF31-AF30-AF29-AF28</f>
        <v>4</v>
      </c>
      <c r="AG33" s="5">
        <f t="shared" si="1"/>
        <v>28.890625</v>
      </c>
      <c r="AH33" s="5">
        <f t="shared" si="2"/>
        <v>3.0816666666666666</v>
      </c>
    </row>
    <row r="34" spans="2:36" ht="15.6" x14ac:dyDescent="0.3">
      <c r="B34" s="2">
        <v>1954</v>
      </c>
      <c r="C34" s="5">
        <v>240</v>
      </c>
      <c r="D34" s="2">
        <v>1996</v>
      </c>
      <c r="E34" s="5">
        <v>49</v>
      </c>
      <c r="H34" s="5">
        <v>88</v>
      </c>
      <c r="I34" s="5">
        <v>7</v>
      </c>
      <c r="K34" s="2" t="s">
        <v>52</v>
      </c>
      <c r="L34" s="5">
        <f>NORMSINV(0.975)</f>
        <v>1.9599639845400536</v>
      </c>
      <c r="R34" s="13">
        <v>7</v>
      </c>
      <c r="S34" s="13">
        <v>88</v>
      </c>
      <c r="T34" s="8"/>
      <c r="U34" s="8"/>
      <c r="V34" s="9" t="s">
        <v>66</v>
      </c>
      <c r="W34" s="5">
        <f>MAX(S28:S102)</f>
        <v>375</v>
      </c>
      <c r="X34" s="8"/>
      <c r="Y34" s="8"/>
      <c r="Z34" s="8"/>
      <c r="AA34" s="8"/>
      <c r="AB34" s="5">
        <v>7</v>
      </c>
      <c r="AC34" s="5">
        <f t="shared" si="4"/>
        <v>0.87994539328570121</v>
      </c>
      <c r="AD34" s="5">
        <f t="shared" si="3"/>
        <v>9.375</v>
      </c>
      <c r="AE34" s="5">
        <f t="shared" si="0"/>
        <v>232.13522588494368</v>
      </c>
      <c r="AF34" s="5">
        <f>COUNTIF(S28:S102,"&lt;=232.13")-AF33-AF32-AF31-AF30-AF29-AF28</f>
        <v>4</v>
      </c>
      <c r="AG34" s="5">
        <f t="shared" si="1"/>
        <v>28.890625</v>
      </c>
      <c r="AH34" s="5">
        <f t="shared" si="2"/>
        <v>3.0816666666666666</v>
      </c>
    </row>
    <row r="35" spans="2:36" x14ac:dyDescent="0.3">
      <c r="B35" s="2">
        <v>1955</v>
      </c>
      <c r="C35" s="5">
        <v>145</v>
      </c>
      <c r="H35" s="5">
        <v>89</v>
      </c>
      <c r="I35" s="5">
        <v>8</v>
      </c>
      <c r="R35" s="13">
        <v>8</v>
      </c>
      <c r="S35" s="13">
        <v>89</v>
      </c>
      <c r="T35" s="8"/>
      <c r="U35" s="8"/>
      <c r="V35" s="8"/>
      <c r="W35" s="8"/>
      <c r="X35" s="8"/>
      <c r="Y35" s="8"/>
      <c r="Z35" s="8"/>
      <c r="AA35" s="8"/>
      <c r="AB35" s="5">
        <v>8</v>
      </c>
      <c r="AC35" s="5">
        <f t="shared" si="4"/>
        <v>0.99971210421933876</v>
      </c>
      <c r="AD35" s="5">
        <f t="shared" si="3"/>
        <v>9.375</v>
      </c>
      <c r="AE35" s="5">
        <f t="shared" si="0"/>
        <v>374.99999999999028</v>
      </c>
      <c r="AF35" s="5">
        <f>COUNTIF(S28:S102,"&lt;=375")-AF34-AF33-AF32-AF31-AF30-AF29-AF28</f>
        <v>12</v>
      </c>
      <c r="AG35" s="5">
        <f t="shared" si="1"/>
        <v>6.890625</v>
      </c>
      <c r="AH35" s="5">
        <f t="shared" si="2"/>
        <v>0.73499999999999999</v>
      </c>
    </row>
    <row r="36" spans="2:36" x14ac:dyDescent="0.3">
      <c r="B36" s="2">
        <v>1956</v>
      </c>
      <c r="C36" s="5">
        <v>155</v>
      </c>
      <c r="H36" s="5">
        <v>89</v>
      </c>
      <c r="I36" s="5">
        <v>9</v>
      </c>
      <c r="K36" s="2" t="s">
        <v>50</v>
      </c>
      <c r="L36" s="5">
        <f>(L29-L30)/L32</f>
        <v>6.1478702779258194</v>
      </c>
      <c r="R36" s="13">
        <v>9</v>
      </c>
      <c r="S36" s="13">
        <v>89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15" t="s">
        <v>76</v>
      </c>
      <c r="AH36" s="13">
        <f>SUM(AH28:AH35)</f>
        <v>10.226666666666667</v>
      </c>
    </row>
    <row r="37" spans="2:36" x14ac:dyDescent="0.3">
      <c r="B37" s="2">
        <v>1957</v>
      </c>
      <c r="C37" s="5">
        <v>230</v>
      </c>
      <c r="H37" s="5">
        <v>92</v>
      </c>
      <c r="I37" s="5">
        <v>10</v>
      </c>
      <c r="R37" s="13">
        <v>10</v>
      </c>
      <c r="S37" s="13">
        <v>92</v>
      </c>
      <c r="T37" s="8"/>
      <c r="U37" s="8"/>
      <c r="V37" s="9" t="s">
        <v>68</v>
      </c>
      <c r="W37" s="5">
        <f>_xlfn.NORM.DIST(W33,W29,W30,TRUE)</f>
        <v>4.1578416750238302E-2</v>
      </c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2:36" x14ac:dyDescent="0.3">
      <c r="B38" s="2">
        <v>1958</v>
      </c>
      <c r="C38" s="5">
        <v>270</v>
      </c>
      <c r="H38" s="5">
        <v>94</v>
      </c>
      <c r="I38" s="5">
        <v>11</v>
      </c>
      <c r="K38" s="28" t="s">
        <v>59</v>
      </c>
      <c r="L38" s="28"/>
      <c r="M38" s="28"/>
      <c r="N38" s="28"/>
      <c r="O38" s="28"/>
      <c r="R38" s="13">
        <v>11</v>
      </c>
      <c r="S38" s="13">
        <v>94</v>
      </c>
      <c r="T38" s="8"/>
      <c r="U38" s="8"/>
      <c r="V38" s="9" t="s">
        <v>83</v>
      </c>
      <c r="W38" s="5">
        <f>_xlfn.NORM.DIST(W34,W29,W30,TRUE)</f>
        <v>0.99971210421933887</v>
      </c>
      <c r="Z38" s="8"/>
      <c r="AA38" s="8"/>
      <c r="AB38" s="8"/>
      <c r="AC38" s="1" t="s">
        <v>81</v>
      </c>
      <c r="AD38" s="5">
        <f>W27-2-1</f>
        <v>5</v>
      </c>
      <c r="AE38" s="8"/>
      <c r="AF38" s="8"/>
      <c r="AG38" s="8"/>
      <c r="AH38" s="8"/>
    </row>
    <row r="39" spans="2:36" x14ac:dyDescent="0.3">
      <c r="B39" s="2">
        <v>1959</v>
      </c>
      <c r="C39" s="5">
        <v>135</v>
      </c>
      <c r="H39" s="5">
        <v>99</v>
      </c>
      <c r="I39" s="5">
        <v>12</v>
      </c>
      <c r="K39" s="27" t="s">
        <v>51</v>
      </c>
      <c r="L39" s="27"/>
      <c r="M39" s="27"/>
      <c r="N39" s="27"/>
      <c r="O39" s="27"/>
      <c r="R39" s="13">
        <v>12</v>
      </c>
      <c r="S39" s="13">
        <v>99</v>
      </c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2:36" x14ac:dyDescent="0.3">
      <c r="B40" s="2">
        <v>1960</v>
      </c>
      <c r="C40" s="5">
        <v>160</v>
      </c>
      <c r="H40" s="5">
        <v>100</v>
      </c>
      <c r="I40" s="5">
        <v>13</v>
      </c>
      <c r="K40" s="27"/>
      <c r="L40" s="27"/>
      <c r="M40" s="27"/>
      <c r="N40" s="27"/>
      <c r="O40" s="27"/>
      <c r="R40" s="13">
        <v>13</v>
      </c>
      <c r="S40" s="13">
        <v>100</v>
      </c>
      <c r="T40" s="8"/>
      <c r="U40" s="8"/>
      <c r="V40" s="26" t="s">
        <v>79</v>
      </c>
      <c r="W40" s="26"/>
      <c r="X40" s="5">
        <f>(W38-W37)/W27</f>
        <v>0.11976671093363757</v>
      </c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2:36" x14ac:dyDescent="0.3">
      <c r="B41" s="2">
        <v>1961</v>
      </c>
      <c r="C41" s="5">
        <v>205</v>
      </c>
      <c r="H41" s="5">
        <v>100</v>
      </c>
      <c r="I41" s="5">
        <v>14</v>
      </c>
      <c r="R41" s="13">
        <v>14</v>
      </c>
      <c r="S41" s="13">
        <v>100</v>
      </c>
      <c r="T41" s="8"/>
      <c r="U41" s="8"/>
      <c r="V41" s="8"/>
      <c r="W41" s="8"/>
      <c r="X41" s="8"/>
      <c r="Y41" s="8"/>
      <c r="Z41" s="8"/>
      <c r="AA41" s="8"/>
      <c r="AB41" s="8"/>
      <c r="AC41" s="9" t="s">
        <v>69</v>
      </c>
      <c r="AD41" s="5">
        <f>CHIINV(0.05,AD38)</f>
        <v>11.070497693516353</v>
      </c>
      <c r="AE41" s="5" t="s">
        <v>70</v>
      </c>
      <c r="AF41" s="8"/>
      <c r="AG41" s="8"/>
      <c r="AH41" s="8"/>
    </row>
    <row r="42" spans="2:36" x14ac:dyDescent="0.3">
      <c r="B42" s="2">
        <v>1962</v>
      </c>
      <c r="C42" s="5">
        <v>140</v>
      </c>
      <c r="H42" s="5">
        <v>105</v>
      </c>
      <c r="I42" s="5">
        <v>15</v>
      </c>
      <c r="R42" s="13">
        <v>15</v>
      </c>
      <c r="S42" s="13">
        <v>105</v>
      </c>
      <c r="T42" s="8"/>
      <c r="U42" s="8"/>
      <c r="V42" s="8"/>
      <c r="W42" s="8"/>
      <c r="X42" s="8"/>
      <c r="Y42" s="8"/>
      <c r="Z42" s="8"/>
      <c r="AA42" s="8"/>
      <c r="AB42" s="8"/>
      <c r="AC42" s="9" t="s">
        <v>71</v>
      </c>
      <c r="AD42" s="5">
        <f>CHIINV(0.01,AD38)</f>
        <v>15.086272469388991</v>
      </c>
      <c r="AE42" s="5" t="s">
        <v>72</v>
      </c>
      <c r="AF42" s="8"/>
      <c r="AG42" s="8"/>
      <c r="AH42" s="8"/>
    </row>
    <row r="43" spans="2:36" ht="15" thickBot="1" x14ac:dyDescent="0.35">
      <c r="B43" s="2">
        <v>1963</v>
      </c>
      <c r="C43" s="5">
        <v>150</v>
      </c>
      <c r="H43" s="5">
        <v>105</v>
      </c>
      <c r="I43" s="5">
        <v>16</v>
      </c>
      <c r="R43" s="13">
        <v>16</v>
      </c>
      <c r="S43" s="13">
        <v>105</v>
      </c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2:36" x14ac:dyDescent="0.3">
      <c r="H44" s="5">
        <v>110</v>
      </c>
      <c r="I44" s="5">
        <v>17</v>
      </c>
      <c r="R44" s="13">
        <v>17</v>
      </c>
      <c r="S44" s="13">
        <v>110</v>
      </c>
      <c r="T44" s="8"/>
      <c r="U44" s="8"/>
      <c r="V44" s="8"/>
      <c r="W44" s="8"/>
      <c r="X44" s="8"/>
      <c r="Y44" s="8"/>
      <c r="Z44" s="8"/>
      <c r="AA44" s="8"/>
      <c r="AB44" s="8"/>
      <c r="AC44" s="18" t="s">
        <v>82</v>
      </c>
      <c r="AD44" s="19"/>
      <c r="AE44" s="19"/>
      <c r="AF44" s="19"/>
      <c r="AG44" s="19"/>
      <c r="AH44" s="20"/>
    </row>
    <row r="45" spans="2:36" ht="15" thickBot="1" x14ac:dyDescent="0.35">
      <c r="H45" s="5">
        <v>110</v>
      </c>
      <c r="I45" s="5">
        <v>18</v>
      </c>
      <c r="R45" s="13">
        <v>18</v>
      </c>
      <c r="S45" s="13">
        <v>110</v>
      </c>
      <c r="T45" s="8"/>
      <c r="U45" s="8"/>
      <c r="V45" s="8"/>
      <c r="W45" s="8"/>
      <c r="X45" s="8"/>
      <c r="Y45" s="8"/>
      <c r="Z45" s="8"/>
      <c r="AA45" s="8"/>
      <c r="AB45" s="8"/>
      <c r="AC45" s="21" t="s">
        <v>73</v>
      </c>
      <c r="AD45" s="22"/>
      <c r="AE45" s="22"/>
      <c r="AF45" s="22"/>
      <c r="AG45" s="22"/>
      <c r="AH45" s="23"/>
    </row>
    <row r="46" spans="2:36" x14ac:dyDescent="0.3">
      <c r="H46" s="5">
        <v>110</v>
      </c>
      <c r="I46" s="5">
        <v>19</v>
      </c>
      <c r="R46" s="13">
        <v>19</v>
      </c>
      <c r="S46" s="13">
        <v>110</v>
      </c>
      <c r="T46" s="8"/>
      <c r="U46" s="8"/>
      <c r="V46" s="8"/>
      <c r="W46" s="8"/>
      <c r="X46" s="8"/>
      <c r="Y46" s="8"/>
      <c r="Z46" s="8"/>
      <c r="AA46" s="8"/>
      <c r="AB46" s="8"/>
    </row>
    <row r="47" spans="2:36" x14ac:dyDescent="0.3">
      <c r="H47" s="5">
        <v>110</v>
      </c>
      <c r="I47" s="5">
        <v>20</v>
      </c>
      <c r="R47" s="13">
        <v>20</v>
      </c>
      <c r="S47" s="13">
        <v>110</v>
      </c>
      <c r="T47" s="8"/>
      <c r="U47" s="8"/>
      <c r="V47" s="8"/>
      <c r="W47" s="8"/>
      <c r="X47" s="8"/>
      <c r="Y47" s="8"/>
      <c r="Z47" s="8"/>
      <c r="AA47" s="8"/>
      <c r="AB47" s="8"/>
    </row>
    <row r="48" spans="2:36" x14ac:dyDescent="0.3">
      <c r="H48" s="5">
        <v>115</v>
      </c>
      <c r="I48" s="5">
        <v>21</v>
      </c>
      <c r="R48" s="13">
        <v>21</v>
      </c>
      <c r="S48" s="13">
        <v>115</v>
      </c>
      <c r="T48" s="8"/>
      <c r="U48" s="8"/>
      <c r="V48" s="8"/>
      <c r="W48" s="8"/>
      <c r="X48" s="8"/>
      <c r="Y48" s="8"/>
      <c r="Z48" s="8"/>
      <c r="AA48" s="8"/>
      <c r="AB48" s="8"/>
    </row>
    <row r="49" spans="8:34" x14ac:dyDescent="0.3">
      <c r="H49" s="5">
        <v>115</v>
      </c>
      <c r="I49" s="5">
        <v>22</v>
      </c>
      <c r="R49" s="13">
        <v>22</v>
      </c>
      <c r="S49" s="13">
        <v>115</v>
      </c>
      <c r="T49" s="8"/>
      <c r="U49" s="8"/>
      <c r="V49" s="8"/>
      <c r="W49" s="8"/>
      <c r="X49" s="8"/>
      <c r="Y49" s="8"/>
      <c r="Z49" s="8"/>
      <c r="AA49" s="8"/>
      <c r="AB49" s="8"/>
    </row>
    <row r="50" spans="8:34" x14ac:dyDescent="0.3">
      <c r="H50" s="5">
        <v>115</v>
      </c>
      <c r="I50" s="5">
        <v>23</v>
      </c>
      <c r="R50" s="13">
        <v>23</v>
      </c>
      <c r="S50" s="13">
        <v>115</v>
      </c>
      <c r="T50" s="8"/>
      <c r="U50" s="8"/>
      <c r="V50" s="8"/>
      <c r="W50" s="8"/>
      <c r="X50" s="8"/>
      <c r="Y50" s="8"/>
      <c r="Z50" s="8"/>
      <c r="AA50" s="8"/>
      <c r="AB50" s="8"/>
    </row>
    <row r="51" spans="8:34" x14ac:dyDescent="0.3">
      <c r="H51" s="5">
        <v>120</v>
      </c>
      <c r="I51" s="5">
        <v>24</v>
      </c>
      <c r="R51" s="13">
        <v>24</v>
      </c>
      <c r="S51" s="13">
        <v>120</v>
      </c>
      <c r="T51" s="8"/>
      <c r="U51" s="8"/>
      <c r="V51" s="8"/>
      <c r="W51" s="8"/>
      <c r="X51" s="8"/>
      <c r="Y51" s="8"/>
      <c r="Z51" s="8"/>
      <c r="AA51" s="8"/>
      <c r="AB51" s="8"/>
    </row>
    <row r="52" spans="8:34" x14ac:dyDescent="0.3">
      <c r="H52" s="5">
        <v>123</v>
      </c>
      <c r="I52" s="5">
        <v>25</v>
      </c>
      <c r="R52" s="13">
        <v>25</v>
      </c>
      <c r="S52" s="13">
        <v>123</v>
      </c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</row>
    <row r="53" spans="8:34" x14ac:dyDescent="0.3">
      <c r="H53" s="5">
        <v>125</v>
      </c>
      <c r="I53" s="5">
        <v>26</v>
      </c>
      <c r="R53" s="13">
        <v>26</v>
      </c>
      <c r="S53" s="13">
        <v>125</v>
      </c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</row>
    <row r="54" spans="8:34" x14ac:dyDescent="0.3">
      <c r="H54" s="5">
        <v>125</v>
      </c>
      <c r="I54" s="5">
        <v>27</v>
      </c>
      <c r="R54" s="13">
        <v>27</v>
      </c>
      <c r="S54" s="13">
        <v>125</v>
      </c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</row>
    <row r="55" spans="8:34" x14ac:dyDescent="0.3">
      <c r="H55" s="11">
        <v>135</v>
      </c>
      <c r="I55" s="5">
        <v>28</v>
      </c>
      <c r="R55" s="13">
        <v>28</v>
      </c>
      <c r="S55" s="13">
        <v>135</v>
      </c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</row>
    <row r="56" spans="8:34" x14ac:dyDescent="0.3">
      <c r="H56" s="11">
        <v>138</v>
      </c>
      <c r="I56" s="5">
        <v>29</v>
      </c>
      <c r="R56" s="13">
        <v>29</v>
      </c>
      <c r="S56" s="13">
        <v>138</v>
      </c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</row>
    <row r="57" spans="8:34" x14ac:dyDescent="0.3">
      <c r="H57" s="11">
        <v>140</v>
      </c>
      <c r="I57" s="5">
        <v>30</v>
      </c>
      <c r="R57" s="13">
        <v>30</v>
      </c>
      <c r="S57" s="13">
        <v>140</v>
      </c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</row>
    <row r="58" spans="8:34" x14ac:dyDescent="0.3">
      <c r="H58" s="11">
        <v>140</v>
      </c>
      <c r="I58" s="5">
        <v>31</v>
      </c>
      <c r="R58" s="13">
        <v>31</v>
      </c>
      <c r="S58" s="13">
        <v>140</v>
      </c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</row>
    <row r="59" spans="8:34" x14ac:dyDescent="0.3">
      <c r="H59" s="5">
        <v>140</v>
      </c>
      <c r="I59" s="5">
        <v>32</v>
      </c>
      <c r="R59" s="13">
        <v>32</v>
      </c>
      <c r="S59" s="13">
        <v>140</v>
      </c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</row>
    <row r="60" spans="8:34" x14ac:dyDescent="0.3">
      <c r="H60" s="5">
        <v>143</v>
      </c>
      <c r="I60" s="5">
        <v>33</v>
      </c>
      <c r="R60" s="13">
        <v>33</v>
      </c>
      <c r="S60" s="13">
        <v>143</v>
      </c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</row>
    <row r="61" spans="8:34" x14ac:dyDescent="0.3">
      <c r="H61" s="11">
        <v>145</v>
      </c>
      <c r="I61" s="5">
        <v>34</v>
      </c>
      <c r="R61" s="13">
        <v>34</v>
      </c>
      <c r="S61" s="13">
        <v>145</v>
      </c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</row>
    <row r="62" spans="8:34" x14ac:dyDescent="0.3">
      <c r="H62" s="11">
        <v>145</v>
      </c>
      <c r="I62" s="5">
        <v>35</v>
      </c>
      <c r="R62" s="13">
        <v>35</v>
      </c>
      <c r="S62" s="13">
        <v>145</v>
      </c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</row>
    <row r="63" spans="8:34" x14ac:dyDescent="0.3">
      <c r="H63" s="11">
        <v>145</v>
      </c>
      <c r="I63" s="5">
        <v>36</v>
      </c>
      <c r="R63" s="13">
        <v>36</v>
      </c>
      <c r="S63" s="13">
        <v>145</v>
      </c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</row>
    <row r="64" spans="8:34" x14ac:dyDescent="0.3">
      <c r="H64" s="11">
        <v>148</v>
      </c>
      <c r="I64" s="5">
        <v>37</v>
      </c>
      <c r="R64" s="13">
        <v>37</v>
      </c>
      <c r="S64" s="13">
        <v>148</v>
      </c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</row>
    <row r="65" spans="8:34" x14ac:dyDescent="0.3">
      <c r="H65" s="11">
        <v>150</v>
      </c>
      <c r="I65" s="5">
        <v>38</v>
      </c>
      <c r="R65" s="13">
        <v>38</v>
      </c>
      <c r="S65" s="13">
        <v>150</v>
      </c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</row>
    <row r="66" spans="8:34" x14ac:dyDescent="0.3">
      <c r="H66" s="11">
        <v>150</v>
      </c>
      <c r="I66" s="5">
        <v>39</v>
      </c>
      <c r="R66" s="13">
        <v>39</v>
      </c>
      <c r="S66" s="13">
        <v>150</v>
      </c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</row>
    <row r="67" spans="8:34" x14ac:dyDescent="0.3">
      <c r="H67" s="5">
        <v>150</v>
      </c>
      <c r="I67" s="5">
        <v>40</v>
      </c>
      <c r="R67" s="13">
        <v>40</v>
      </c>
      <c r="S67" s="13">
        <v>150</v>
      </c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</row>
    <row r="68" spans="8:34" x14ac:dyDescent="0.3">
      <c r="H68" s="11">
        <v>155</v>
      </c>
      <c r="I68" s="5">
        <v>41</v>
      </c>
      <c r="R68" s="13">
        <v>41</v>
      </c>
      <c r="S68" s="13">
        <v>155</v>
      </c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</row>
    <row r="69" spans="8:34" x14ac:dyDescent="0.3">
      <c r="H69" s="11">
        <v>155</v>
      </c>
      <c r="I69" s="5">
        <v>42</v>
      </c>
      <c r="R69" s="13">
        <v>42</v>
      </c>
      <c r="S69" s="13">
        <v>155</v>
      </c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</row>
    <row r="70" spans="8:34" x14ac:dyDescent="0.3">
      <c r="H70" s="11">
        <v>158</v>
      </c>
      <c r="I70" s="5">
        <v>43</v>
      </c>
      <c r="R70" s="13">
        <v>43</v>
      </c>
      <c r="S70" s="13">
        <v>158</v>
      </c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</row>
    <row r="71" spans="8:34" x14ac:dyDescent="0.3">
      <c r="H71" s="11">
        <v>160</v>
      </c>
      <c r="I71" s="5">
        <v>44</v>
      </c>
      <c r="R71" s="13">
        <v>44</v>
      </c>
      <c r="S71" s="13">
        <v>160</v>
      </c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</row>
    <row r="72" spans="8:34" x14ac:dyDescent="0.3">
      <c r="H72" s="11">
        <v>160</v>
      </c>
      <c r="I72" s="5">
        <v>45</v>
      </c>
      <c r="R72" s="13">
        <v>45</v>
      </c>
      <c r="S72" s="13">
        <v>160</v>
      </c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</row>
    <row r="73" spans="8:34" x14ac:dyDescent="0.3">
      <c r="H73" s="11">
        <v>162</v>
      </c>
      <c r="I73" s="5">
        <v>46</v>
      </c>
      <c r="R73" s="13">
        <v>46</v>
      </c>
      <c r="S73" s="13">
        <v>162</v>
      </c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</row>
    <row r="74" spans="8:34" x14ac:dyDescent="0.3">
      <c r="H74" s="11">
        <v>165</v>
      </c>
      <c r="I74" s="5">
        <v>47</v>
      </c>
      <c r="R74" s="13">
        <v>47</v>
      </c>
      <c r="S74" s="13">
        <v>165</v>
      </c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</row>
    <row r="75" spans="8:34" x14ac:dyDescent="0.3">
      <c r="H75" s="5">
        <v>168</v>
      </c>
      <c r="I75" s="5">
        <v>48</v>
      </c>
      <c r="R75" s="13">
        <v>48</v>
      </c>
      <c r="S75" s="13">
        <v>168</v>
      </c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</row>
    <row r="76" spans="8:34" x14ac:dyDescent="0.3">
      <c r="H76" s="11">
        <v>170</v>
      </c>
      <c r="I76" s="5">
        <v>49</v>
      </c>
      <c r="R76" s="13">
        <v>49</v>
      </c>
      <c r="S76" s="13">
        <v>170</v>
      </c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</row>
    <row r="77" spans="8:34" x14ac:dyDescent="0.3">
      <c r="H77" s="11">
        <v>171</v>
      </c>
      <c r="I77" s="5">
        <v>50</v>
      </c>
      <c r="R77" s="13">
        <v>50</v>
      </c>
      <c r="S77" s="13">
        <v>171</v>
      </c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</row>
    <row r="78" spans="8:34" x14ac:dyDescent="0.3">
      <c r="H78" s="11">
        <v>175</v>
      </c>
      <c r="I78" s="5">
        <v>51</v>
      </c>
      <c r="R78" s="13">
        <v>51</v>
      </c>
      <c r="S78" s="13">
        <v>175</v>
      </c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</row>
    <row r="79" spans="8:34" x14ac:dyDescent="0.3">
      <c r="H79" s="11">
        <v>175</v>
      </c>
      <c r="I79" s="5">
        <v>52</v>
      </c>
      <c r="R79" s="13">
        <v>52</v>
      </c>
      <c r="S79" s="13">
        <v>175</v>
      </c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</row>
    <row r="80" spans="8:34" x14ac:dyDescent="0.3">
      <c r="H80" s="11">
        <v>177</v>
      </c>
      <c r="I80" s="5">
        <v>53</v>
      </c>
      <c r="R80" s="13">
        <v>53</v>
      </c>
      <c r="S80" s="13">
        <v>177</v>
      </c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</row>
    <row r="81" spans="8:34" x14ac:dyDescent="0.3">
      <c r="H81" s="11">
        <v>179</v>
      </c>
      <c r="I81" s="5">
        <v>54</v>
      </c>
      <c r="R81" s="13">
        <v>54</v>
      </c>
      <c r="S81" s="13">
        <v>179</v>
      </c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</row>
    <row r="82" spans="8:34" x14ac:dyDescent="0.3">
      <c r="H82" s="11">
        <v>179</v>
      </c>
      <c r="I82" s="5">
        <v>55</v>
      </c>
      <c r="R82" s="13">
        <v>55</v>
      </c>
      <c r="S82" s="13">
        <v>179</v>
      </c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</row>
    <row r="83" spans="8:34" x14ac:dyDescent="0.3">
      <c r="H83" s="11">
        <v>185</v>
      </c>
      <c r="I83" s="5">
        <v>56</v>
      </c>
      <c r="R83" s="13">
        <v>56</v>
      </c>
      <c r="S83" s="13">
        <v>185</v>
      </c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</row>
    <row r="84" spans="8:34" x14ac:dyDescent="0.3">
      <c r="H84" s="11">
        <v>186</v>
      </c>
      <c r="I84" s="5">
        <v>57</v>
      </c>
      <c r="R84" s="13">
        <v>57</v>
      </c>
      <c r="S84" s="13">
        <v>186</v>
      </c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</row>
    <row r="85" spans="8:34" x14ac:dyDescent="0.3">
      <c r="H85" s="11">
        <v>199</v>
      </c>
      <c r="I85" s="5">
        <v>58</v>
      </c>
      <c r="R85" s="13">
        <v>58</v>
      </c>
      <c r="S85" s="13">
        <v>199</v>
      </c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</row>
    <row r="86" spans="8:34" x14ac:dyDescent="0.3">
      <c r="H86" s="11">
        <v>200</v>
      </c>
      <c r="I86" s="5">
        <v>59</v>
      </c>
      <c r="R86" s="13">
        <v>59</v>
      </c>
      <c r="S86" s="13">
        <v>200</v>
      </c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8:34" x14ac:dyDescent="0.3">
      <c r="H87" s="11">
        <v>205</v>
      </c>
      <c r="I87" s="5">
        <v>60</v>
      </c>
      <c r="R87" s="13">
        <v>60</v>
      </c>
      <c r="S87" s="13">
        <v>205</v>
      </c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</row>
    <row r="88" spans="8:34" x14ac:dyDescent="0.3">
      <c r="H88" s="11">
        <v>210</v>
      </c>
      <c r="I88" s="5">
        <v>61</v>
      </c>
      <c r="R88" s="13">
        <v>61</v>
      </c>
      <c r="S88" s="13">
        <v>210</v>
      </c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8:34" x14ac:dyDescent="0.3">
      <c r="H89" s="11">
        <v>210</v>
      </c>
      <c r="I89" s="5">
        <v>62</v>
      </c>
      <c r="R89" s="13">
        <v>62</v>
      </c>
      <c r="S89" s="13">
        <v>210</v>
      </c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</row>
    <row r="90" spans="8:34" x14ac:dyDescent="0.3">
      <c r="H90" s="11">
        <v>230</v>
      </c>
      <c r="I90" s="5">
        <v>63</v>
      </c>
      <c r="R90" s="13">
        <v>63</v>
      </c>
      <c r="S90" s="13">
        <v>230</v>
      </c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</row>
    <row r="91" spans="8:34" x14ac:dyDescent="0.3">
      <c r="H91" s="11">
        <v>234</v>
      </c>
      <c r="I91" s="5">
        <v>64</v>
      </c>
      <c r="R91" s="13">
        <v>64</v>
      </c>
      <c r="S91" s="13">
        <v>234</v>
      </c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</row>
    <row r="92" spans="8:34" x14ac:dyDescent="0.3">
      <c r="H92" s="11">
        <v>235</v>
      </c>
      <c r="I92" s="5">
        <v>65</v>
      </c>
      <c r="R92" s="13">
        <v>65</v>
      </c>
      <c r="S92" s="13">
        <v>235</v>
      </c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</row>
    <row r="93" spans="8:34" x14ac:dyDescent="0.3">
      <c r="H93" s="11">
        <v>240</v>
      </c>
      <c r="I93" s="5">
        <v>66</v>
      </c>
      <c r="R93" s="13">
        <v>66</v>
      </c>
      <c r="S93" s="13">
        <v>240</v>
      </c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</row>
    <row r="94" spans="8:34" x14ac:dyDescent="0.3">
      <c r="H94" s="11">
        <v>240</v>
      </c>
      <c r="I94" s="5">
        <v>67</v>
      </c>
      <c r="R94" s="13">
        <v>67</v>
      </c>
      <c r="S94" s="13">
        <v>240</v>
      </c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</row>
    <row r="95" spans="8:34" x14ac:dyDescent="0.3">
      <c r="H95" s="11">
        <v>240</v>
      </c>
      <c r="I95" s="5">
        <v>68</v>
      </c>
      <c r="R95" s="13">
        <v>68</v>
      </c>
      <c r="S95" s="13">
        <v>240</v>
      </c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</row>
    <row r="96" spans="8:34" x14ac:dyDescent="0.3">
      <c r="H96" s="11">
        <v>245</v>
      </c>
      <c r="I96" s="5">
        <v>69</v>
      </c>
      <c r="R96" s="13">
        <v>69</v>
      </c>
      <c r="S96" s="13">
        <v>245</v>
      </c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</row>
    <row r="97" spans="8:34" x14ac:dyDescent="0.3">
      <c r="H97" s="11">
        <v>250</v>
      </c>
      <c r="I97" s="5">
        <v>70</v>
      </c>
      <c r="R97" s="13">
        <v>70</v>
      </c>
      <c r="S97" s="13">
        <v>250</v>
      </c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</row>
    <row r="98" spans="8:34" x14ac:dyDescent="0.3">
      <c r="H98" s="11">
        <v>260</v>
      </c>
      <c r="I98" s="5">
        <v>71</v>
      </c>
      <c r="R98" s="13">
        <v>71</v>
      </c>
      <c r="S98" s="13">
        <v>260</v>
      </c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</row>
    <row r="99" spans="8:34" x14ac:dyDescent="0.3">
      <c r="H99" s="11">
        <v>270</v>
      </c>
      <c r="I99" s="5">
        <v>72</v>
      </c>
      <c r="R99" s="13">
        <v>72</v>
      </c>
      <c r="S99" s="13">
        <v>270</v>
      </c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</row>
    <row r="100" spans="8:34" x14ac:dyDescent="0.3">
      <c r="H100" s="5">
        <v>285</v>
      </c>
      <c r="I100" s="5">
        <v>73</v>
      </c>
      <c r="R100" s="13">
        <v>73</v>
      </c>
      <c r="S100" s="13">
        <v>285</v>
      </c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</row>
    <row r="101" spans="8:34" x14ac:dyDescent="0.3">
      <c r="H101" s="5">
        <v>330</v>
      </c>
      <c r="I101" s="5">
        <v>74</v>
      </c>
      <c r="R101" s="13">
        <v>74</v>
      </c>
      <c r="S101" s="13">
        <v>330</v>
      </c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</row>
    <row r="102" spans="8:34" x14ac:dyDescent="0.3">
      <c r="H102" s="11">
        <v>375</v>
      </c>
      <c r="I102" s="5">
        <v>75</v>
      </c>
      <c r="R102" s="13">
        <v>75</v>
      </c>
      <c r="S102" s="13">
        <v>375</v>
      </c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</row>
  </sheetData>
  <sortState ref="H28:H102">
    <sortCondition ref="H28"/>
  </sortState>
  <mergeCells count="15">
    <mergeCell ref="AC44:AH44"/>
    <mergeCell ref="AC45:AH45"/>
    <mergeCell ref="R26:S26"/>
    <mergeCell ref="V9:X9"/>
    <mergeCell ref="H8:L8"/>
    <mergeCell ref="H16:L16"/>
    <mergeCell ref="U17:Y17"/>
    <mergeCell ref="V40:W40"/>
    <mergeCell ref="K39:O40"/>
    <mergeCell ref="K38:O38"/>
    <mergeCell ref="H26:K26"/>
    <mergeCell ref="H17:J17"/>
    <mergeCell ref="U18:Y18"/>
    <mergeCell ref="P23:T23"/>
    <mergeCell ref="V23:Z23"/>
  </mergeCells>
  <pageMargins left="0.7" right="0.7" top="0.75" bottom="0.75" header="0.3" footer="0.3"/>
  <pageSetup orientation="portrait" horizontalDpi="1200" verticalDpi="1200" r:id="rId1"/>
  <headerFooter>
    <oddHeader>&amp;C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Exercise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2016-11-05T21:30:31Z</dcterms:modified>
</cp:coreProperties>
</file>