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shiba1\Desktop\session\EAU + Batiment + Baragge\5eme annee EAU\eau 5eme s1 mes\Hydrologie\Ex resolu\"/>
    </mc:Choice>
  </mc:AlternateContent>
  <bookViews>
    <workbookView xWindow="120" yWindow="48" windowWidth="23892" windowHeight="9972" tabRatio="663" firstSheet="3" activeTab="4"/>
  </bookViews>
  <sheets>
    <sheet name="p t et s connue (p.24)" sheetId="7" r:id="rId1"/>
    <sheet name="Calcul de l'humidite (p.25)" sheetId="2" r:id="rId2"/>
    <sheet name="Quantite d'eau (p.27)" sheetId="1" r:id="rId3"/>
    <sheet name="Epaisseur entre2isobares(p. 53)" sheetId="5" r:id="rId4"/>
    <sheet name="Vent geostrophique(p.59)" sheetId="8" r:id="rId5"/>
    <sheet name="Couche limite atm. (page63) " sheetId="4" r:id="rId6"/>
    <sheet name="Ecoulement (page172)" sheetId="3" r:id="rId7"/>
  </sheets>
  <calcPr calcId="152511"/>
</workbook>
</file>

<file path=xl/calcChain.xml><?xml version="1.0" encoding="utf-8"?>
<calcChain xmlns="http://schemas.openxmlformats.org/spreadsheetml/2006/main">
  <c r="H10" i="3" l="1"/>
  <c r="H6" i="3"/>
  <c r="H5" i="3"/>
  <c r="G6" i="3"/>
  <c r="G5" i="3"/>
  <c r="F5" i="3"/>
  <c r="F21" i="3"/>
  <c r="F3" i="4"/>
  <c r="B12" i="4"/>
  <c r="H4" i="4" s="1"/>
  <c r="B7" i="4"/>
  <c r="C17" i="8"/>
  <c r="C18" i="8" s="1"/>
  <c r="C19" i="8"/>
  <c r="C11" i="8"/>
  <c r="C9" i="8"/>
  <c r="L14" i="1"/>
  <c r="K14" i="1"/>
  <c r="J14" i="1"/>
  <c r="I15" i="1"/>
  <c r="I14" i="1"/>
  <c r="H13" i="1"/>
  <c r="G13" i="1"/>
  <c r="F13" i="1"/>
  <c r="E14" i="1"/>
  <c r="C14" i="1"/>
  <c r="C19" i="2"/>
  <c r="C18" i="2"/>
  <c r="J14" i="2"/>
  <c r="D14" i="7"/>
  <c r="D10" i="7"/>
  <c r="H156" i="4" l="1"/>
  <c r="H195" i="4"/>
  <c r="H163" i="4"/>
  <c r="H131" i="4"/>
  <c r="H99" i="4"/>
  <c r="H67" i="4"/>
  <c r="H10" i="4"/>
  <c r="H92" i="4"/>
  <c r="H187" i="4"/>
  <c r="H155" i="4"/>
  <c r="H123" i="4"/>
  <c r="H91" i="4"/>
  <c r="H52" i="4"/>
  <c r="H180" i="4"/>
  <c r="H148" i="4"/>
  <c r="H116" i="4"/>
  <c r="H84" i="4"/>
  <c r="H44" i="4"/>
  <c r="H179" i="4"/>
  <c r="H147" i="4"/>
  <c r="H115" i="4"/>
  <c r="H83" i="4"/>
  <c r="H36" i="4"/>
  <c r="H124" i="4"/>
  <c r="H3" i="4"/>
  <c r="H172" i="4"/>
  <c r="H140" i="4"/>
  <c r="H108" i="4"/>
  <c r="H76" i="4"/>
  <c r="H28" i="4"/>
  <c r="H188" i="4"/>
  <c r="H60" i="4"/>
  <c r="H203" i="4"/>
  <c r="H171" i="4"/>
  <c r="H139" i="4"/>
  <c r="H107" i="4"/>
  <c r="H75" i="4"/>
  <c r="H20" i="4"/>
  <c r="H196" i="4"/>
  <c r="H164" i="4"/>
  <c r="H132" i="4"/>
  <c r="H100" i="4"/>
  <c r="H68" i="4"/>
  <c r="H12" i="4"/>
  <c r="H51" i="4"/>
  <c r="H43" i="4"/>
  <c r="H202" i="4"/>
  <c r="H194" i="4"/>
  <c r="H186" i="4"/>
  <c r="H178" i="4"/>
  <c r="H170" i="4"/>
  <c r="H162" i="4"/>
  <c r="H154" i="4"/>
  <c r="H146" i="4"/>
  <c r="H138" i="4"/>
  <c r="H130" i="4"/>
  <c r="H122" i="4"/>
  <c r="H114" i="4"/>
  <c r="H106" i="4"/>
  <c r="H98" i="4"/>
  <c r="H90" i="4"/>
  <c r="H82" i="4"/>
  <c r="H74" i="4"/>
  <c r="H66" i="4"/>
  <c r="H58" i="4"/>
  <c r="H50" i="4"/>
  <c r="H42" i="4"/>
  <c r="H34" i="4"/>
  <c r="H26" i="4"/>
  <c r="H18" i="4"/>
  <c r="H9" i="4"/>
  <c r="H19" i="4"/>
  <c r="H201" i="4"/>
  <c r="H193" i="4"/>
  <c r="H185" i="4"/>
  <c r="H177" i="4"/>
  <c r="H169" i="4"/>
  <c r="H161" i="4"/>
  <c r="H153" i="4"/>
  <c r="H145" i="4"/>
  <c r="H137" i="4"/>
  <c r="H129" i="4"/>
  <c r="H121" i="4"/>
  <c r="H113" i="4"/>
  <c r="H105" i="4"/>
  <c r="H97" i="4"/>
  <c r="H89" i="4"/>
  <c r="H81" i="4"/>
  <c r="H73" i="4"/>
  <c r="H65" i="4"/>
  <c r="H57" i="4"/>
  <c r="H49" i="4"/>
  <c r="H41" i="4"/>
  <c r="H33" i="4"/>
  <c r="H25" i="4"/>
  <c r="H17" i="4"/>
  <c r="H8" i="4"/>
  <c r="H11" i="4"/>
  <c r="H200" i="4"/>
  <c r="H192" i="4"/>
  <c r="H184" i="4"/>
  <c r="H176" i="4"/>
  <c r="H168" i="4"/>
  <c r="H160" i="4"/>
  <c r="H152" i="4"/>
  <c r="H144" i="4"/>
  <c r="H136" i="4"/>
  <c r="H128" i="4"/>
  <c r="H120" i="4"/>
  <c r="H112" i="4"/>
  <c r="H104" i="4"/>
  <c r="H96" i="4"/>
  <c r="H88" i="4"/>
  <c r="H80" i="4"/>
  <c r="H72" i="4"/>
  <c r="H64" i="4"/>
  <c r="H56" i="4"/>
  <c r="H48" i="4"/>
  <c r="H40" i="4"/>
  <c r="H32" i="4"/>
  <c r="H24" i="4"/>
  <c r="H16" i="4"/>
  <c r="H7" i="4"/>
  <c r="H199" i="4"/>
  <c r="H191" i="4"/>
  <c r="H183" i="4"/>
  <c r="H175" i="4"/>
  <c r="H167" i="4"/>
  <c r="H159" i="4"/>
  <c r="H151" i="4"/>
  <c r="H143" i="4"/>
  <c r="H135" i="4"/>
  <c r="H127" i="4"/>
  <c r="H119" i="4"/>
  <c r="H111" i="4"/>
  <c r="H103" i="4"/>
  <c r="H95" i="4"/>
  <c r="H87" i="4"/>
  <c r="H79" i="4"/>
  <c r="H71" i="4"/>
  <c r="H63" i="4"/>
  <c r="H55" i="4"/>
  <c r="H47" i="4"/>
  <c r="H39" i="4"/>
  <c r="H31" i="4"/>
  <c r="H23" i="4"/>
  <c r="H15" i="4"/>
  <c r="H6" i="4"/>
  <c r="H59" i="4"/>
  <c r="H35" i="4"/>
  <c r="H198" i="4"/>
  <c r="H190" i="4"/>
  <c r="H182" i="4"/>
  <c r="H174" i="4"/>
  <c r="H166" i="4"/>
  <c r="H158" i="4"/>
  <c r="H150" i="4"/>
  <c r="H142" i="4"/>
  <c r="H134" i="4"/>
  <c r="H126" i="4"/>
  <c r="H118" i="4"/>
  <c r="H110" i="4"/>
  <c r="H102" i="4"/>
  <c r="H94" i="4"/>
  <c r="H86" i="4"/>
  <c r="H78" i="4"/>
  <c r="H70" i="4"/>
  <c r="H62" i="4"/>
  <c r="H54" i="4"/>
  <c r="H46" i="4"/>
  <c r="H38" i="4"/>
  <c r="H30" i="4"/>
  <c r="H22" i="4"/>
  <c r="H14" i="4"/>
  <c r="H5" i="4"/>
  <c r="H27" i="4"/>
  <c r="H197" i="4"/>
  <c r="H189" i="4"/>
  <c r="H181" i="4"/>
  <c r="H173" i="4"/>
  <c r="H165" i="4"/>
  <c r="H157" i="4"/>
  <c r="H149" i="4"/>
  <c r="H141" i="4"/>
  <c r="H133" i="4"/>
  <c r="H125" i="4"/>
  <c r="H117" i="4"/>
  <c r="H109" i="4"/>
  <c r="H101" i="4"/>
  <c r="H93" i="4"/>
  <c r="H85" i="4"/>
  <c r="H77" i="4"/>
  <c r="H69" i="4"/>
  <c r="H61" i="4"/>
  <c r="H53" i="4"/>
  <c r="H45" i="4"/>
  <c r="H37" i="4"/>
  <c r="H29" i="4"/>
  <c r="H21" i="4"/>
  <c r="H1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B10" i="4"/>
  <c r="G3" i="4" s="1"/>
  <c r="C5" i="5"/>
  <c r="D13" i="5" s="1"/>
  <c r="K19" i="1"/>
  <c r="J15" i="1"/>
  <c r="D14" i="1"/>
  <c r="D14" i="2"/>
  <c r="D7" i="2"/>
  <c r="D8" i="7"/>
  <c r="D11" i="7"/>
  <c r="C12" i="8" l="1"/>
  <c r="C8" i="8"/>
  <c r="B14" i="1" l="1"/>
  <c r="B9" i="4"/>
  <c r="F6" i="3"/>
  <c r="F7" i="3"/>
  <c r="F8" i="3"/>
  <c r="G8" i="3" s="1"/>
  <c r="F9" i="3"/>
  <c r="F10" i="3"/>
  <c r="F11" i="3"/>
  <c r="G11" i="3" s="1"/>
  <c r="F12" i="3"/>
  <c r="F13" i="3"/>
  <c r="G13" i="3" s="1"/>
  <c r="F14" i="3"/>
  <c r="G14" i="3" s="1"/>
  <c r="F15" i="3"/>
  <c r="F16" i="3"/>
  <c r="G16" i="3" s="1"/>
  <c r="F17" i="3"/>
  <c r="G17" i="3" s="1"/>
  <c r="F18" i="3"/>
  <c r="F19" i="3"/>
  <c r="F20" i="3"/>
  <c r="G20" i="3" s="1"/>
  <c r="G7" i="3"/>
  <c r="G10" i="3"/>
  <c r="G12" i="3"/>
  <c r="G15" i="3"/>
  <c r="G18" i="3"/>
  <c r="G19" i="3"/>
  <c r="D21" i="3"/>
  <c r="B18" i="1"/>
  <c r="B17" i="1"/>
  <c r="B16" i="1"/>
  <c r="B15" i="1"/>
  <c r="D13" i="1"/>
  <c r="B13" i="1"/>
  <c r="C9" i="1"/>
  <c r="C8" i="1"/>
  <c r="C7" i="1"/>
  <c r="C6" i="1"/>
  <c r="J10" i="2" l="1"/>
  <c r="G9" i="3"/>
  <c r="G14" i="1"/>
  <c r="C15" i="1"/>
  <c r="F14" i="1"/>
  <c r="G13" i="4"/>
  <c r="G21" i="4"/>
  <c r="G29" i="4"/>
  <c r="G33" i="4"/>
  <c r="G45" i="4"/>
  <c r="G49" i="4"/>
  <c r="G57" i="4"/>
  <c r="G65" i="4"/>
  <c r="G73" i="4"/>
  <c r="G77" i="4"/>
  <c r="G89" i="4"/>
  <c r="G93" i="4"/>
  <c r="G105" i="4"/>
  <c r="G113" i="4"/>
  <c r="G125" i="4"/>
  <c r="G137" i="4"/>
  <c r="G153" i="4"/>
  <c r="G169" i="4"/>
  <c r="G197" i="4"/>
  <c r="G9" i="4"/>
  <c r="G12" i="4"/>
  <c r="G20" i="4"/>
  <c r="G32" i="4"/>
  <c r="G36" i="4"/>
  <c r="G44" i="4"/>
  <c r="G48" i="4"/>
  <c r="G56" i="4"/>
  <c r="G64" i="4"/>
  <c r="G72" i="4"/>
  <c r="G80" i="4"/>
  <c r="G88" i="4"/>
  <c r="G96" i="4"/>
  <c r="G104" i="4"/>
  <c r="G108" i="4"/>
  <c r="G116" i="4"/>
  <c r="G124" i="4"/>
  <c r="G132" i="4"/>
  <c r="G140" i="4"/>
  <c r="G148" i="4"/>
  <c r="G156" i="4"/>
  <c r="G164" i="4"/>
  <c r="G172" i="4"/>
  <c r="G180" i="4"/>
  <c r="G184" i="4"/>
  <c r="G192" i="4"/>
  <c r="G196" i="4"/>
  <c r="G8" i="4"/>
  <c r="G11" i="4"/>
  <c r="G15" i="4"/>
  <c r="G19" i="4"/>
  <c r="G23" i="4"/>
  <c r="G27" i="4"/>
  <c r="G31" i="4"/>
  <c r="G35" i="4"/>
  <c r="G39" i="4"/>
  <c r="G43" i="4"/>
  <c r="G47" i="4"/>
  <c r="G51" i="4"/>
  <c r="G55" i="4"/>
  <c r="G59" i="4"/>
  <c r="G63" i="4"/>
  <c r="G67" i="4"/>
  <c r="G71" i="4"/>
  <c r="G75" i="4"/>
  <c r="G79" i="4"/>
  <c r="G83" i="4"/>
  <c r="G87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139" i="4"/>
  <c r="G143" i="4"/>
  <c r="G147" i="4"/>
  <c r="G151" i="4"/>
  <c r="G155" i="4"/>
  <c r="G159" i="4"/>
  <c r="G163" i="4"/>
  <c r="G167" i="4"/>
  <c r="G171" i="4"/>
  <c r="G175" i="4"/>
  <c r="G179" i="4"/>
  <c r="G183" i="4"/>
  <c r="G187" i="4"/>
  <c r="G191" i="4"/>
  <c r="G195" i="4"/>
  <c r="G199" i="4"/>
  <c r="G203" i="4"/>
  <c r="G17" i="4"/>
  <c r="G37" i="4"/>
  <c r="G53" i="4"/>
  <c r="G69" i="4"/>
  <c r="G85" i="4"/>
  <c r="G97" i="4"/>
  <c r="G109" i="4"/>
  <c r="G121" i="4"/>
  <c r="G133" i="4"/>
  <c r="G145" i="4"/>
  <c r="G161" i="4"/>
  <c r="G177" i="4"/>
  <c r="G201" i="4"/>
  <c r="G6" i="4"/>
  <c r="G16" i="4"/>
  <c r="G28" i="4"/>
  <c r="G40" i="4"/>
  <c r="G52" i="4"/>
  <c r="G60" i="4"/>
  <c r="G68" i="4"/>
  <c r="G76" i="4"/>
  <c r="G84" i="4"/>
  <c r="G92" i="4"/>
  <c r="G100" i="4"/>
  <c r="G112" i="4"/>
  <c r="G120" i="4"/>
  <c r="G128" i="4"/>
  <c r="G136" i="4"/>
  <c r="G144" i="4"/>
  <c r="G152" i="4"/>
  <c r="G160" i="4"/>
  <c r="G168" i="4"/>
  <c r="G176" i="4"/>
  <c r="G188" i="4"/>
  <c r="G200" i="4"/>
  <c r="G5" i="4"/>
  <c r="G4" i="4"/>
  <c r="G25" i="4"/>
  <c r="G41" i="4"/>
  <c r="G61" i="4"/>
  <c r="G81" i="4"/>
  <c r="G101" i="4"/>
  <c r="G117" i="4"/>
  <c r="G129" i="4"/>
  <c r="G141" i="4"/>
  <c r="G149" i="4"/>
  <c r="G157" i="4"/>
  <c r="G165" i="4"/>
  <c r="G173" i="4"/>
  <c r="G181" i="4"/>
  <c r="G185" i="4"/>
  <c r="G189" i="4"/>
  <c r="G193" i="4"/>
  <c r="G24" i="4"/>
  <c r="G7" i="4"/>
  <c r="G10" i="4"/>
  <c r="G14" i="4"/>
  <c r="G18" i="4"/>
  <c r="G22" i="4"/>
  <c r="G26" i="4"/>
  <c r="G30" i="4"/>
  <c r="G34" i="4"/>
  <c r="G38" i="4"/>
  <c r="G42" i="4"/>
  <c r="G46" i="4"/>
  <c r="G50" i="4"/>
  <c r="G54" i="4"/>
  <c r="G58" i="4"/>
  <c r="G62" i="4"/>
  <c r="G66" i="4"/>
  <c r="G70" i="4"/>
  <c r="G74" i="4"/>
  <c r="G78" i="4"/>
  <c r="G82" i="4"/>
  <c r="G86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8" i="4"/>
  <c r="G142" i="4"/>
  <c r="G146" i="4"/>
  <c r="G150" i="4"/>
  <c r="G154" i="4"/>
  <c r="G158" i="4"/>
  <c r="G162" i="4"/>
  <c r="G166" i="4"/>
  <c r="G170" i="4"/>
  <c r="G174" i="4"/>
  <c r="G178" i="4"/>
  <c r="G182" i="4"/>
  <c r="G186" i="4"/>
  <c r="G190" i="4"/>
  <c r="G194" i="4"/>
  <c r="G198" i="4"/>
  <c r="G202" i="4"/>
  <c r="H7" i="3"/>
  <c r="H8" i="3" s="1"/>
  <c r="H9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C16" i="1" l="1"/>
  <c r="G15" i="1"/>
  <c r="D15" i="1"/>
  <c r="E15" i="1" s="1"/>
  <c r="H14" i="1"/>
  <c r="H15" i="1" l="1"/>
  <c r="D16" i="1"/>
  <c r="E16" i="1" s="1"/>
  <c r="C17" i="1"/>
  <c r="G16" i="1"/>
  <c r="F15" i="1"/>
  <c r="H16" i="1" l="1"/>
  <c r="K15" i="1"/>
  <c r="G17" i="1"/>
  <c r="C18" i="1"/>
  <c r="D17" i="1"/>
  <c r="E17" i="1" s="1"/>
  <c r="F16" i="1"/>
  <c r="J16" i="1" s="1"/>
  <c r="I16" i="1"/>
  <c r="H17" i="1" l="1"/>
  <c r="I17" i="1" s="1"/>
  <c r="G18" i="1"/>
  <c r="D18" i="1"/>
  <c r="E18" i="1" s="1"/>
  <c r="K16" i="1"/>
  <c r="F17" i="1"/>
  <c r="J17" i="1" s="1"/>
  <c r="H18" i="1" l="1"/>
  <c r="I18" i="1" s="1"/>
  <c r="F18" i="1"/>
  <c r="J18" i="1" s="1"/>
  <c r="K17" i="1"/>
  <c r="K18" i="1" l="1"/>
  <c r="L17" i="1" s="1"/>
  <c r="L18" i="1" l="1"/>
  <c r="L15" i="1"/>
  <c r="L16" i="1"/>
</calcChain>
</file>

<file path=xl/sharedStrings.xml><?xml version="1.0" encoding="utf-8"?>
<sst xmlns="http://schemas.openxmlformats.org/spreadsheetml/2006/main" count="117" uniqueCount="105">
  <si>
    <t>km</t>
  </si>
  <si>
    <t>surface</t>
  </si>
  <si>
    <t>m2</t>
  </si>
  <si>
    <t>α</t>
  </si>
  <si>
    <t>ºC/m</t>
  </si>
  <si>
    <t>R</t>
  </si>
  <si>
    <t>g</t>
  </si>
  <si>
    <r>
      <t>temperature (</t>
    </r>
    <r>
      <rPr>
        <b/>
        <sz val="11"/>
        <color theme="1"/>
        <rFont val="Arial"/>
        <family val="2"/>
      </rPr>
      <t>º</t>
    </r>
    <r>
      <rPr>
        <b/>
        <sz val="11"/>
        <color theme="1"/>
        <rFont val="Calibri"/>
        <family val="2"/>
        <scheme val="minor"/>
      </rPr>
      <t>C)</t>
    </r>
  </si>
  <si>
    <t>temperature (K)</t>
  </si>
  <si>
    <t>pression de l'air (kPa)</t>
  </si>
  <si>
    <t>Colonne d'air de hauteur</t>
  </si>
  <si>
    <t>g.mol-1</t>
  </si>
  <si>
    <t xml:space="preserve">mase volumique de l'air (t/m3) </t>
  </si>
  <si>
    <t>Pression(Pa)/(R(287)*T(Kelvin))</t>
  </si>
  <si>
    <t>Pi*(T2/T1)^
(9.81/(gradient de temperature*Ra(287)</t>
  </si>
  <si>
    <t>humidité specifique s (kg/kg)</t>
  </si>
  <si>
    <t>tension de vapeur e (KPa)</t>
  </si>
  <si>
    <t>0.622*e/pression</t>
  </si>
  <si>
    <t>611*exp
(17.27*T©/(237.3+T©)</t>
  </si>
  <si>
    <t>elevation
en m</t>
  </si>
  <si>
    <t>Masse volum. 
moyenne de l'air 
en kg/m3</t>
  </si>
  <si>
    <t>-</t>
  </si>
  <si>
    <t>Masse incrementale
precipité en kg</t>
  </si>
  <si>
    <t>humidité specifique
Moyenne s (kg/kg)</t>
  </si>
  <si>
    <t>% de la masse 
increm.
precipite</t>
  </si>
  <si>
    <t>Total</t>
  </si>
  <si>
    <t>T de l'air</t>
  </si>
  <si>
    <t>T de rosée</t>
  </si>
  <si>
    <t>en celsius</t>
  </si>
  <si>
    <t>Tension de 
vapeur saturante</t>
  </si>
  <si>
    <t>Pa</t>
  </si>
  <si>
    <t>Tension de 
vapeur dans 
l'atmosphere</t>
  </si>
  <si>
    <t>e</t>
  </si>
  <si>
    <t>Humidite 
Relative</t>
  </si>
  <si>
    <t>humidité
specifique</t>
  </si>
  <si>
    <t>s=0.622*
(e/pression)</t>
  </si>
  <si>
    <t>kg/kg d'air
humide</t>
  </si>
  <si>
    <t>TOTAL</t>
  </si>
  <si>
    <t>temps 
en h</t>
  </si>
  <si>
    <t>Precipitation
par intervalle de
temps en m</t>
  </si>
  <si>
    <t>Volume ecoulé
par intervalle
de temps en m</t>
  </si>
  <si>
    <t>S=</t>
  </si>
  <si>
    <t>Stockage 
par intervalle 
de temps en m</t>
  </si>
  <si>
    <t>Stockage
cumulé
en m</t>
  </si>
  <si>
    <t>u moyenne (m/s)</t>
  </si>
  <si>
    <t>z (m)</t>
  </si>
  <si>
    <t>K</t>
  </si>
  <si>
    <t>u* (m/s)</t>
  </si>
  <si>
    <t>j/kg/kelvin</t>
  </si>
  <si>
    <t>m/s2</t>
  </si>
  <si>
    <t>J/kg/k</t>
  </si>
  <si>
    <t>Masse de l'air humide</t>
  </si>
  <si>
    <t>Pression atmospherique</t>
  </si>
  <si>
    <t>Kpa</t>
  </si>
  <si>
    <t>kg/m3</t>
  </si>
  <si>
    <t>Epaisseur qui separe deux surfaces P1 et P2:</t>
  </si>
  <si>
    <t>E=1/g . R (lnP1-lnP2) . T</t>
  </si>
  <si>
    <t>p</t>
  </si>
  <si>
    <t>s</t>
  </si>
  <si>
    <t>s=0.622 e/p</t>
  </si>
  <si>
    <t>es</t>
  </si>
  <si>
    <t>ε</t>
  </si>
  <si>
    <t>rosee</t>
  </si>
  <si>
    <t>Ф</t>
  </si>
  <si>
    <t>ρ</t>
  </si>
  <si>
    <t>ω</t>
  </si>
  <si>
    <t>rad/s</t>
  </si>
  <si>
    <t>dp/dh</t>
  </si>
  <si>
    <t>Vg</t>
  </si>
  <si>
    <t>m/s</t>
  </si>
  <si>
    <t>km/h</t>
  </si>
  <si>
    <t>tan α</t>
  </si>
  <si>
    <t>degres</t>
  </si>
  <si>
    <t>Humidité * Epaisseur * S
 * Masse Volumique</t>
  </si>
  <si>
    <r>
      <t>e</t>
    </r>
    <r>
      <rPr>
        <b/>
        <sz val="8"/>
        <color theme="1"/>
        <rFont val="Calibri"/>
        <family val="2"/>
        <scheme val="minor"/>
      </rPr>
      <t>s</t>
    </r>
  </si>
  <si>
    <r>
      <t>ε=e/e</t>
    </r>
    <r>
      <rPr>
        <b/>
        <sz val="8"/>
        <color theme="1"/>
        <rFont val="Calibri"/>
        <family val="2"/>
        <scheme val="minor"/>
      </rPr>
      <t>s</t>
    </r>
  </si>
  <si>
    <r>
      <t>Vg=-1/</t>
    </r>
    <r>
      <rPr>
        <b/>
        <sz val="11"/>
        <color theme="1"/>
        <rFont val="Calibri"/>
        <family val="2"/>
      </rPr>
      <t>ρ</t>
    </r>
    <r>
      <rPr>
        <b/>
        <sz val="11"/>
        <color theme="1"/>
        <rFont val="Calibri"/>
        <family val="2"/>
        <scheme val="minor"/>
      </rPr>
      <t xml:space="preserve"> . dp/dh / (2 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 xml:space="preserve"> sin </t>
    </r>
    <r>
      <rPr>
        <b/>
        <sz val="11"/>
        <color theme="1"/>
        <rFont val="Calibri"/>
        <family val="2"/>
      </rPr>
      <t>Ф)</t>
    </r>
  </si>
  <si>
    <t>degre lattitude</t>
  </si>
  <si>
    <r>
      <t xml:space="preserve">v= gtan </t>
    </r>
    <r>
      <rPr>
        <b/>
        <sz val="11"/>
        <color theme="1"/>
        <rFont val="Calibri"/>
        <family val="2"/>
      </rPr>
      <t xml:space="preserve">α </t>
    </r>
    <r>
      <rPr>
        <b/>
        <sz val="11"/>
        <color theme="1"/>
        <rFont val="Calibri"/>
        <family val="2"/>
        <scheme val="minor"/>
      </rPr>
      <t xml:space="preserve">/ 2 </t>
    </r>
    <r>
      <rPr>
        <b/>
        <sz val="11"/>
        <color theme="1"/>
        <rFont val="Calibri"/>
        <family val="2"/>
      </rPr>
      <t>ωsin Ф</t>
    </r>
    <r>
      <rPr>
        <b/>
        <sz val="11"/>
        <color theme="1"/>
        <rFont val="Calibri"/>
        <family val="2"/>
        <scheme val="minor"/>
      </rPr>
      <t xml:space="preserve"> </t>
    </r>
  </si>
  <si>
    <t>Ra</t>
  </si>
  <si>
    <t>Rd</t>
  </si>
  <si>
    <t>M</t>
  </si>
  <si>
    <t>T</t>
  </si>
  <si>
    <t>P1 mbar</t>
  </si>
  <si>
    <t>P2 mbar</t>
  </si>
  <si>
    <r>
      <t>T</t>
    </r>
    <r>
      <rPr>
        <vertAlign val="subscript"/>
        <sz val="11"/>
        <color theme="1"/>
        <rFont val="Calibri"/>
        <family val="2"/>
        <scheme val="minor"/>
      </rPr>
      <t>moyenne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</si>
  <si>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vertAlign val="subscript"/>
        <sz val="11"/>
        <color theme="1"/>
        <rFont val="Calibri"/>
        <family val="2"/>
        <scheme val="minor"/>
      </rPr>
      <t>moyenne</t>
    </r>
    <r>
      <rPr>
        <sz val="11"/>
        <color theme="1"/>
        <rFont val="Calibri"/>
        <family val="2"/>
        <scheme val="minor"/>
      </rPr>
      <t xml:space="preserve"> K</t>
    </r>
  </si>
  <si>
    <t>E (m)</t>
  </si>
  <si>
    <t>Pour Fc = 0</t>
  </si>
  <si>
    <t>P1 Kpa</t>
  </si>
  <si>
    <t>P2 Kpa</t>
  </si>
  <si>
    <t>H1 Km</t>
  </si>
  <si>
    <t>H2 Km</t>
  </si>
  <si>
    <r>
      <t>z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(m)</t>
    </r>
  </si>
  <si>
    <r>
      <t>ρ (kg/m</t>
    </r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</rPr>
      <t>)</t>
    </r>
  </si>
  <si>
    <r>
      <t>νiscosité (m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/s)</t>
    </r>
  </si>
  <si>
    <r>
      <t>µ (kg.m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.s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</t>
    </r>
  </si>
  <si>
    <r>
      <t>viscosité turb.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/s)</t>
    </r>
  </si>
  <si>
    <r>
      <t>µ turb. (kg.m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.s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</t>
    </r>
  </si>
  <si>
    <r>
      <t>τ (N/m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) laminaire</t>
    </r>
  </si>
  <si>
    <r>
      <t>τ (N/m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) turbulente</t>
    </r>
  </si>
  <si>
    <r>
      <t>avec 1 N=1 m.kg/s</t>
    </r>
    <r>
      <rPr>
        <b/>
        <vertAlign val="superscript"/>
        <sz val="11"/>
        <color theme="1"/>
        <rFont val="Calibri"/>
        <family val="2"/>
      </rPr>
      <t>2</t>
    </r>
  </si>
  <si>
    <r>
      <t>km</t>
    </r>
    <r>
      <rPr>
        <vertAlign val="superscript"/>
        <sz val="11"/>
        <color theme="1"/>
        <rFont val="Calibri"/>
        <family val="2"/>
        <scheme val="minor"/>
      </rPr>
      <t>2</t>
    </r>
  </si>
  <si>
    <t>Intervallle</t>
  </si>
  <si>
    <r>
      <t>Débit 
en
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</si>
</sst>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0"/>
    <numFmt numFmtId="166" formatCode="0.000000000"/>
    <numFmt numFmtId="167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r-FR"/>
            </a:pPr>
            <a:r>
              <a:rPr lang="en-US"/>
              <a:t>u en fonction de z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u fct z</c:v>
          </c:tx>
          <c:marker>
            <c:symbol val="none"/>
          </c:marker>
          <c:xVal>
            <c:numRef>
              <c:f>'Couche limite atm. (page63) '!$E$3:$E$203</c:f>
              <c:numCache>
                <c:formatCode>General</c:formatCode>
                <c:ptCount val="201"/>
                <c:pt idx="0">
                  <c:v>0.2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'Couche limite atm. (page63) '!$F$3:$F$203</c:f>
              <c:numCache>
                <c:formatCode>General</c:formatCode>
                <c:ptCount val="201"/>
                <c:pt idx="0">
                  <c:v>1.6962360309717193</c:v>
                </c:pt>
                <c:pt idx="1">
                  <c:v>2.6075279380565619</c:v>
                </c:pt>
                <c:pt idx="2">
                  <c:v>3.0000000000000004</c:v>
                </c:pt>
                <c:pt idx="3">
                  <c:v>3.2295814388176227</c:v>
                </c:pt>
                <c:pt idx="4">
                  <c:v>3.3924720619434385</c:v>
                </c:pt>
                <c:pt idx="5">
                  <c:v>3.5188198451414046</c:v>
                </c:pt>
                <c:pt idx="6">
                  <c:v>3.6220535007610604</c:v>
                </c:pt>
                <c:pt idx="7">
                  <c:v>3.7093363129235706</c:v>
                </c:pt>
                <c:pt idx="8">
                  <c:v>3.7849441238868771</c:v>
                </c:pt>
                <c:pt idx="9">
                  <c:v>3.8516349395786826</c:v>
                </c:pt>
                <c:pt idx="10">
                  <c:v>3.9112919070848431</c:v>
                </c:pt>
                <c:pt idx="11">
                  <c:v>3.965258198575468</c:v>
                </c:pt>
                <c:pt idx="12">
                  <c:v>4.0145255627044989</c:v>
                </c:pt>
                <c:pt idx="13">
                  <c:v>4.0598471443327924</c:v>
                </c:pt>
                <c:pt idx="14">
                  <c:v>4.1018083748670087</c:v>
                </c:pt>
                <c:pt idx="15">
                  <c:v>4.1408733459024649</c:v>
                </c:pt>
                <c:pt idx="16">
                  <c:v>4.1774161858303147</c:v>
                </c:pt>
                <c:pt idx="17">
                  <c:v>4.2117429074792678</c:v>
                </c:pt>
                <c:pt idx="18">
                  <c:v>4.2441070015221216</c:v>
                </c:pt>
                <c:pt idx="19">
                  <c:v>4.2747208082440284</c:v>
                </c:pt>
                <c:pt idx="20">
                  <c:v>4.3037639690282816</c:v>
                </c:pt>
                <c:pt idx="21">
                  <c:v>4.3313898136846305</c:v>
                </c:pt>
                <c:pt idx="22">
                  <c:v>4.357730260518907</c:v>
                </c:pt>
                <c:pt idx="23">
                  <c:v>4.3828996262791513</c:v>
                </c:pt>
                <c:pt idx="24">
                  <c:v>4.4069976246479374</c:v>
                </c:pt>
                <c:pt idx="25">
                  <c:v>4.4301117522262468</c:v>
                </c:pt>
                <c:pt idx="26">
                  <c:v>4.45231920627623</c:v>
                </c:pt>
                <c:pt idx="27">
                  <c:v>4.4736884403397434</c:v>
                </c:pt>
                <c:pt idx="28">
                  <c:v>4.4942804368104472</c:v>
                </c:pt>
                <c:pt idx="29">
                  <c:v>4.5141497560963169</c:v>
                </c:pt>
                <c:pt idx="30">
                  <c:v>4.5333454078459035</c:v>
                </c:pt>
                <c:pt idx="31">
                  <c:v>4.5519115792666733</c:v>
                </c:pt>
                <c:pt idx="32">
                  <c:v>4.5698882477737532</c:v>
                </c:pt>
                <c:pt idx="33">
                  <c:v>4.5873116993365288</c:v>
                </c:pt>
                <c:pt idx="34">
                  <c:v>4.6042149694227055</c:v>
                </c:pt>
                <c:pt idx="35">
                  <c:v>4.6206282200084132</c:v>
                </c:pt>
                <c:pt idx="36">
                  <c:v>4.6365790634655593</c:v>
                </c:pt>
                <c:pt idx="37">
                  <c:v>4.6520928420631407</c:v>
                </c:pt>
                <c:pt idx="38">
                  <c:v>4.667192870187467</c:v>
                </c:pt>
                <c:pt idx="39">
                  <c:v>4.6819006450938527</c:v>
                </c:pt>
                <c:pt idx="40">
                  <c:v>4.6962360309717193</c:v>
                </c:pt>
                <c:pt idx="41">
                  <c:v>4.710217420278223</c:v>
                </c:pt>
                <c:pt idx="42">
                  <c:v>4.723861875628069</c:v>
                </c:pt>
                <c:pt idx="43">
                  <c:v>4.7371852549855005</c:v>
                </c:pt>
                <c:pt idx="44">
                  <c:v>4.7502023224623446</c:v>
                </c:pt>
                <c:pt idx="45">
                  <c:v>4.7629268466635253</c:v>
                </c:pt>
                <c:pt idx="46">
                  <c:v>4.775371688222589</c:v>
                </c:pt>
                <c:pt idx="47">
                  <c:v>4.7875488779225197</c:v>
                </c:pt>
                <c:pt idx="48">
                  <c:v>4.799469686591376</c:v>
                </c:pt>
                <c:pt idx="49">
                  <c:v>4.8111446877905788</c:v>
                </c:pt>
                <c:pt idx="50">
                  <c:v>4.8225838141696853</c:v>
                </c:pt>
                <c:pt idx="51">
                  <c:v>4.8337964082403282</c:v>
                </c:pt>
                <c:pt idx="52">
                  <c:v>4.8447912682196685</c:v>
                </c:pt>
                <c:pt idx="53">
                  <c:v>4.855576689506977</c:v>
                </c:pt>
                <c:pt idx="54">
                  <c:v>4.866160502283182</c:v>
                </c:pt>
                <c:pt idx="55">
                  <c:v>4.8765501056603107</c:v>
                </c:pt>
                <c:pt idx="56">
                  <c:v>4.8867524987538848</c:v>
                </c:pt>
                <c:pt idx="57">
                  <c:v>4.8967743090050897</c:v>
                </c:pt>
                <c:pt idx="58">
                  <c:v>4.9066218180397554</c:v>
                </c:pt>
                <c:pt idx="59">
                  <c:v>4.9163009853168393</c:v>
                </c:pt>
                <c:pt idx="60">
                  <c:v>4.9258174697893411</c:v>
                </c:pt>
                <c:pt idx="61">
                  <c:v>4.9351766497748057</c:v>
                </c:pt>
                <c:pt idx="62">
                  <c:v>4.9443836412101119</c:v>
                </c:pt>
                <c:pt idx="63">
                  <c:v>4.9534433144456917</c:v>
                </c:pt>
                <c:pt idx="64">
                  <c:v>4.9623603097171918</c:v>
                </c:pt>
                <c:pt idx="65">
                  <c:v>4.9711390514176346</c:v>
                </c:pt>
                <c:pt idx="66">
                  <c:v>4.9797837612799674</c:v>
                </c:pt>
                <c:pt idx="67">
                  <c:v>4.9882984705683269</c:v>
                </c:pt>
                <c:pt idx="68">
                  <c:v>4.996687031366144</c:v>
                </c:pt>
                <c:pt idx="69">
                  <c:v>5.0049531270402117</c:v>
                </c:pt>
                <c:pt idx="70">
                  <c:v>5.0131002819518518</c:v>
                </c:pt>
                <c:pt idx="71">
                  <c:v>5.0211318704792856</c:v>
                </c:pt>
                <c:pt idx="72">
                  <c:v>5.0290511254089978</c:v>
                </c:pt>
                <c:pt idx="73">
                  <c:v>5.0368611457483361</c:v>
                </c:pt>
                <c:pt idx="74">
                  <c:v>5.0445649040065792</c:v>
                </c:pt>
                <c:pt idx="75">
                  <c:v>5.052165252987308</c:v>
                </c:pt>
                <c:pt idx="76">
                  <c:v>5.0596649321309055</c:v>
                </c:pt>
                <c:pt idx="77">
                  <c:v>5.0670665734424771</c:v>
                </c:pt>
                <c:pt idx="78">
                  <c:v>5.0743727070372913</c:v>
                </c:pt>
                <c:pt idx="79">
                  <c:v>5.0815857663329798</c:v>
                </c:pt>
                <c:pt idx="80">
                  <c:v>5.0887080929151578</c:v>
                </c:pt>
                <c:pt idx="81">
                  <c:v>5.0957419411008047</c:v>
                </c:pt>
                <c:pt idx="82">
                  <c:v>5.1026894822216606</c:v>
                </c:pt>
                <c:pt idx="83">
                  <c:v>5.1095528086480142</c:v>
                </c:pt>
                <c:pt idx="84">
                  <c:v>5.1163339375715076</c:v>
                </c:pt>
                <c:pt idx="85">
                  <c:v>5.12303481456411</c:v>
                </c:pt>
                <c:pt idx="86">
                  <c:v>5.1296573169289381</c:v>
                </c:pt>
                <c:pt idx="87">
                  <c:v>5.1362032568573772</c:v>
                </c:pt>
                <c:pt idx="88">
                  <c:v>5.1426743844057832</c:v>
                </c:pt>
                <c:pt idx="89">
                  <c:v>5.1490723903040001</c:v>
                </c:pt>
                <c:pt idx="90">
                  <c:v>5.1553989086069638</c:v>
                </c:pt>
                <c:pt idx="91">
                  <c:v>5.1616555191998001</c:v>
                </c:pt>
                <c:pt idx="92">
                  <c:v>5.1678437501660275</c:v>
                </c:pt>
                <c:pt idx="93">
                  <c:v>5.1739650800277337</c:v>
                </c:pt>
                <c:pt idx="94">
                  <c:v>5.1800209398659582</c:v>
                </c:pt>
                <c:pt idx="95">
                  <c:v>5.1860127153288715</c:v>
                </c:pt>
                <c:pt idx="96">
                  <c:v>5.1919417485348145</c:v>
                </c:pt>
                <c:pt idx="97">
                  <c:v>5.1978093398767227</c:v>
                </c:pt>
                <c:pt idx="98">
                  <c:v>5.2036167497340173</c:v>
                </c:pt>
                <c:pt idx="99">
                  <c:v>5.2093652000975901</c:v>
                </c:pt>
                <c:pt idx="100">
                  <c:v>5.2150558761131238</c:v>
                </c:pt>
                <c:pt idx="101">
                  <c:v>5.2206899275476362</c:v>
                </c:pt>
                <c:pt idx="102">
                  <c:v>5.2262684701837667</c:v>
                </c:pt>
                <c:pt idx="103">
                  <c:v>5.2317925871460469</c:v>
                </c:pt>
                <c:pt idx="104">
                  <c:v>5.237263330163108</c:v>
                </c:pt>
                <c:pt idx="105">
                  <c:v>5.2426817207694736</c:v>
                </c:pt>
                <c:pt idx="106">
                  <c:v>5.2480487514504155</c:v>
                </c:pt>
                <c:pt idx="107">
                  <c:v>5.2533653867330372</c:v>
                </c:pt>
                <c:pt idx="108">
                  <c:v>5.2586325642266196</c:v>
                </c:pt>
                <c:pt idx="109">
                  <c:v>5.26385119561502</c:v>
                </c:pt>
                <c:pt idx="110">
                  <c:v>5.2690221676037501</c:v>
                </c:pt>
                <c:pt idx="111">
                  <c:v>5.274146342824201</c:v>
                </c:pt>
                <c:pt idx="112">
                  <c:v>5.2792245606973243</c:v>
                </c:pt>
                <c:pt idx="113">
                  <c:v>5.2842576382589108</c:v>
                </c:pt>
                <c:pt idx="114">
                  <c:v>5.2892463709485273</c:v>
                </c:pt>
                <c:pt idx="115">
                  <c:v>5.2941915333639935</c:v>
                </c:pt>
                <c:pt idx="116">
                  <c:v>5.299093879983193</c:v>
                </c:pt>
                <c:pt idx="117">
                  <c:v>5.3039541458549131</c:v>
                </c:pt>
                <c:pt idx="118">
                  <c:v>5.308773047260277</c:v>
                </c:pt>
                <c:pt idx="119">
                  <c:v>5.3135512823462765</c:v>
                </c:pt>
                <c:pt idx="120">
                  <c:v>5.3182895317327805</c:v>
                </c:pt>
                <c:pt idx="121">
                  <c:v>5.3229884590943746</c:v>
                </c:pt>
                <c:pt idx="122">
                  <c:v>5.3276487117182443</c:v>
                </c:pt>
                <c:pt idx="123">
                  <c:v>5.3322709210392834</c:v>
                </c:pt>
                <c:pt idx="124">
                  <c:v>5.3368557031535495</c:v>
                </c:pt>
                <c:pt idx="125">
                  <c:v>5.3414036593110898</c:v>
                </c:pt>
                <c:pt idx="126">
                  <c:v>5.3459153763891294</c:v>
                </c:pt>
                <c:pt idx="127">
                  <c:v>5.3503914273465671</c:v>
                </c:pt>
                <c:pt idx="128">
                  <c:v>5.3548323716606303</c:v>
                </c:pt>
                <c:pt idx="129">
                  <c:v>5.3592387557465599</c:v>
                </c:pt>
                <c:pt idx="130">
                  <c:v>5.3636111133610731</c:v>
                </c:pt>
                <c:pt idx="131">
                  <c:v>5.3679499659903724</c:v>
                </c:pt>
                <c:pt idx="132">
                  <c:v>5.372255823223405</c:v>
                </c:pt>
                <c:pt idx="133">
                  <c:v>5.3765291831110371</c:v>
                </c:pt>
                <c:pt idx="134">
                  <c:v>5.3807705325117645</c:v>
                </c:pt>
                <c:pt idx="135">
                  <c:v>5.3849803474245865</c:v>
                </c:pt>
                <c:pt idx="136">
                  <c:v>5.3891590933095834</c:v>
                </c:pt>
                <c:pt idx="137">
                  <c:v>5.3933072253967582</c:v>
                </c:pt>
                <c:pt idx="138">
                  <c:v>5.3974251889836502</c:v>
                </c:pt>
                <c:pt idx="139">
                  <c:v>5.4015134197221899</c:v>
                </c:pt>
                <c:pt idx="140">
                  <c:v>5.4055723438952903</c:v>
                </c:pt>
                <c:pt idx="141">
                  <c:v>5.4096023786835801</c:v>
                </c:pt>
                <c:pt idx="142">
                  <c:v>5.4136039324227232</c:v>
                </c:pt>
                <c:pt idx="143">
                  <c:v>5.4175774048516985</c:v>
                </c:pt>
                <c:pt idx="144">
                  <c:v>5.4215231873524354</c:v>
                </c:pt>
                <c:pt idx="145">
                  <c:v>5.4254416631811599</c:v>
                </c:pt>
                <c:pt idx="146">
                  <c:v>5.4293332076917746</c:v>
                </c:pt>
                <c:pt idx="147">
                  <c:v>5.4331981885516401</c:v>
                </c:pt>
                <c:pt idx="148">
                  <c:v>5.4370369659500168</c:v>
                </c:pt>
                <c:pt idx="149">
                  <c:v>5.4408498927995073</c:v>
                </c:pt>
                <c:pt idx="150">
                  <c:v>5.4446373149307465</c:v>
                </c:pt>
                <c:pt idx="151">
                  <c:v>5.4483995712806319</c:v>
                </c:pt>
                <c:pt idx="152">
                  <c:v>5.452136994074344</c:v>
                </c:pt>
                <c:pt idx="153">
                  <c:v>5.4558499090013877</c:v>
                </c:pt>
                <c:pt idx="154">
                  <c:v>5.4595386353859148</c:v>
                </c:pt>
                <c:pt idx="155">
                  <c:v>5.4632034863515164</c:v>
                </c:pt>
                <c:pt idx="156">
                  <c:v>5.4668447689807289</c:v>
                </c:pt>
                <c:pt idx="157">
                  <c:v>5.4704627844694471</c:v>
                </c:pt>
                <c:pt idx="158">
                  <c:v>5.4740578282764174</c:v>
                </c:pt>
                <c:pt idx="159">
                  <c:v>5.4776301902680382</c:v>
                </c:pt>
                <c:pt idx="160">
                  <c:v>5.4811801548585963</c:v>
                </c:pt>
                <c:pt idx="161">
                  <c:v>5.48470800114616</c:v>
                </c:pt>
                <c:pt idx="162">
                  <c:v>5.4882140030442423</c:v>
                </c:pt>
                <c:pt idx="163">
                  <c:v>5.4916984294094311</c:v>
                </c:pt>
                <c:pt idx="164">
                  <c:v>5.4951615441650992</c:v>
                </c:pt>
                <c:pt idx="165">
                  <c:v>5.4986036064213719</c:v>
                </c:pt>
                <c:pt idx="166">
                  <c:v>5.5020248705914518</c:v>
                </c:pt>
                <c:pt idx="167">
                  <c:v>5.5054255865044697</c:v>
                </c:pt>
                <c:pt idx="168">
                  <c:v>5.5088059995149461</c:v>
                </c:pt>
                <c:pt idx="169">
                  <c:v>5.5121663506090224</c:v>
                </c:pt>
                <c:pt idx="170">
                  <c:v>5.5155068765075486</c:v>
                </c:pt>
                <c:pt idx="171">
                  <c:v>5.5188278097661501</c:v>
                </c:pt>
                <c:pt idx="172">
                  <c:v>5.5221293788723766</c:v>
                </c:pt>
                <c:pt idx="173">
                  <c:v>5.5254118083400368</c:v>
                </c:pt>
                <c:pt idx="174">
                  <c:v>5.5286753188008149</c:v>
                </c:pt>
                <c:pt idx="175">
                  <c:v>5.5319201270932554</c:v>
                </c:pt>
                <c:pt idx="176">
                  <c:v>5.5351464463492208</c:v>
                </c:pt>
                <c:pt idx="177">
                  <c:v>5.5383544860778997</c:v>
                </c:pt>
                <c:pt idx="178">
                  <c:v>5.5415444522474386</c:v>
                </c:pt>
                <c:pt idx="179">
                  <c:v>5.5447165473643008</c:v>
                </c:pt>
                <c:pt idx="180">
                  <c:v>5.5478709705504023</c:v>
                </c:pt>
                <c:pt idx="181">
                  <c:v>5.5510079176181231</c:v>
                </c:pt>
                <c:pt idx="182">
                  <c:v>5.5541275811432396</c:v>
                </c:pt>
                <c:pt idx="183">
                  <c:v>5.5572301505358661</c:v>
                </c:pt>
                <c:pt idx="184">
                  <c:v>5.560315812109466</c:v>
                </c:pt>
                <c:pt idx="185">
                  <c:v>5.5633847491479829</c:v>
                </c:pt>
                <c:pt idx="186">
                  <c:v>5.5664371419711713</c:v>
                </c:pt>
                <c:pt idx="187">
                  <c:v>5.5694731679981739</c:v>
                </c:pt>
                <c:pt idx="188">
                  <c:v>5.5724930018093959</c:v>
                </c:pt>
                <c:pt idx="189">
                  <c:v>5.5754968152067512</c:v>
                </c:pt>
                <c:pt idx="190">
                  <c:v>5.5784847772723092</c:v>
                </c:pt>
                <c:pt idx="191">
                  <c:v>5.5814570544254032</c:v>
                </c:pt>
                <c:pt idx="192">
                  <c:v>5.5844138104782521</c:v>
                </c:pt>
                <c:pt idx="193">
                  <c:v>5.587355206690134</c:v>
                </c:pt>
                <c:pt idx="194">
                  <c:v>5.5902814018201612</c:v>
                </c:pt>
                <c:pt idx="195">
                  <c:v>5.5931925521786958</c:v>
                </c:pt>
                <c:pt idx="196">
                  <c:v>5.5960888116774559</c:v>
                </c:pt>
                <c:pt idx="197">
                  <c:v>5.5989703318783421</c:v>
                </c:pt>
                <c:pt idx="198">
                  <c:v>5.6018372620410277</c:v>
                </c:pt>
                <c:pt idx="199">
                  <c:v>5.6046897491693546</c:v>
                </c:pt>
                <c:pt idx="200">
                  <c:v>5.6075279380565624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170720"/>
        <c:axId val="340171112"/>
      </c:scatterChart>
      <c:valAx>
        <c:axId val="3401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0171112"/>
        <c:crosses val="autoZero"/>
        <c:crossBetween val="midCat"/>
      </c:valAx>
      <c:valAx>
        <c:axId val="340171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0170720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r-FR"/>
            </a:pPr>
            <a:r>
              <a:rPr lang="el-GR"/>
              <a:t>τ</a:t>
            </a:r>
            <a:r>
              <a:rPr lang="en-US"/>
              <a:t> en fonction</a:t>
            </a:r>
            <a:r>
              <a:rPr lang="en-US" baseline="0"/>
              <a:t> de </a:t>
            </a:r>
            <a:r>
              <a:rPr lang="en-US"/>
              <a:t>z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tau fct z</c:v>
          </c:tx>
          <c:marker>
            <c:symbol val="none"/>
          </c:marker>
          <c:xVal>
            <c:numRef>
              <c:f>'Couche limite atm. (page63) '!$E$3:$E$203</c:f>
              <c:numCache>
                <c:formatCode>General</c:formatCode>
                <c:ptCount val="201"/>
                <c:pt idx="0">
                  <c:v>0.2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'Couche limite atm. (page63) '!$G$3:$G$203</c:f>
              <c:numCache>
                <c:formatCode>General</c:formatCode>
                <c:ptCount val="201"/>
                <c:pt idx="0" formatCode="0.000000000">
                  <c:v>1.1733875721254526E-4</c:v>
                </c:pt>
                <c:pt idx="1">
                  <c:v>2.3467751442509055E-5</c:v>
                </c:pt>
                <c:pt idx="2">
                  <c:v>1.1733875721254527E-5</c:v>
                </c:pt>
                <c:pt idx="3">
                  <c:v>7.8225838141696838E-6</c:v>
                </c:pt>
                <c:pt idx="4">
                  <c:v>5.8669378606272637E-6</c:v>
                </c:pt>
                <c:pt idx="5">
                  <c:v>4.6935502885018115E-6</c:v>
                </c:pt>
                <c:pt idx="6">
                  <c:v>3.9112919070848419E-6</c:v>
                </c:pt>
                <c:pt idx="7">
                  <c:v>3.3525359203584363E-6</c:v>
                </c:pt>
                <c:pt idx="8">
                  <c:v>2.9334689303136318E-6</c:v>
                </c:pt>
                <c:pt idx="9">
                  <c:v>2.6075279380565618E-6</c:v>
                </c:pt>
                <c:pt idx="10">
                  <c:v>2.3467751442509057E-6</c:v>
                </c:pt>
                <c:pt idx="11">
                  <c:v>2.1334319493190052E-6</c:v>
                </c:pt>
                <c:pt idx="12">
                  <c:v>1.9556459535424209E-6</c:v>
                </c:pt>
                <c:pt idx="13">
                  <c:v>1.8052116494237737E-6</c:v>
                </c:pt>
                <c:pt idx="14">
                  <c:v>1.6762679601792182E-6</c:v>
                </c:pt>
                <c:pt idx="15">
                  <c:v>1.5645167628339372E-6</c:v>
                </c:pt>
                <c:pt idx="16">
                  <c:v>1.4667344651568159E-6</c:v>
                </c:pt>
                <c:pt idx="17">
                  <c:v>1.3804559672064149E-6</c:v>
                </c:pt>
                <c:pt idx="18">
                  <c:v>1.3037639690282809E-6</c:v>
                </c:pt>
                <c:pt idx="19">
                  <c:v>1.2351448127636345E-6</c:v>
                </c:pt>
                <c:pt idx="20">
                  <c:v>1.1733875721254529E-6</c:v>
                </c:pt>
                <c:pt idx="21">
                  <c:v>1.1175119734528122E-6</c:v>
                </c:pt>
                <c:pt idx="22">
                  <c:v>1.0667159746595026E-6</c:v>
                </c:pt>
                <c:pt idx="23">
                  <c:v>1.0203370192395241E-6</c:v>
                </c:pt>
                <c:pt idx="24">
                  <c:v>9.7782297677121047E-7</c:v>
                </c:pt>
                <c:pt idx="25">
                  <c:v>9.3871005770036227E-7</c:v>
                </c:pt>
                <c:pt idx="26">
                  <c:v>9.0260582471188683E-7</c:v>
                </c:pt>
                <c:pt idx="27">
                  <c:v>8.6917597935218728E-7</c:v>
                </c:pt>
                <c:pt idx="28">
                  <c:v>8.3813398008960908E-7</c:v>
                </c:pt>
                <c:pt idx="29">
                  <c:v>8.0923280836238115E-7</c:v>
                </c:pt>
                <c:pt idx="30">
                  <c:v>7.8225838141696861E-7</c:v>
                </c:pt>
                <c:pt idx="31">
                  <c:v>7.5702424008093735E-7</c:v>
                </c:pt>
                <c:pt idx="32">
                  <c:v>7.3336723257840796E-7</c:v>
                </c:pt>
                <c:pt idx="33">
                  <c:v>7.1114398310633498E-7</c:v>
                </c:pt>
                <c:pt idx="34">
                  <c:v>6.9022798360320747E-7</c:v>
                </c:pt>
                <c:pt idx="35">
                  <c:v>6.7050718407168735E-7</c:v>
                </c:pt>
                <c:pt idx="36">
                  <c:v>6.5188198451414046E-7</c:v>
                </c:pt>
                <c:pt idx="37">
                  <c:v>6.3426355250024478E-7</c:v>
                </c:pt>
                <c:pt idx="38">
                  <c:v>6.1757240638181724E-7</c:v>
                </c:pt>
                <c:pt idx="39">
                  <c:v>6.0173721647459118E-7</c:v>
                </c:pt>
                <c:pt idx="40">
                  <c:v>5.8669378606272643E-7</c:v>
                </c:pt>
                <c:pt idx="41">
                  <c:v>5.7238418152461104E-7</c:v>
                </c:pt>
                <c:pt idx="42">
                  <c:v>5.5875598672640609E-7</c:v>
                </c:pt>
                <c:pt idx="43">
                  <c:v>5.4576166145369899E-7</c:v>
                </c:pt>
                <c:pt idx="44">
                  <c:v>5.3335798732975131E-7</c:v>
                </c:pt>
                <c:pt idx="45">
                  <c:v>5.2150558761131241E-7</c:v>
                </c:pt>
                <c:pt idx="46">
                  <c:v>5.1016850961976206E-7</c:v>
                </c:pt>
                <c:pt idx="47">
                  <c:v>4.9931386047891604E-7</c:v>
                </c:pt>
                <c:pt idx="48">
                  <c:v>4.8891148838560524E-7</c:v>
                </c:pt>
                <c:pt idx="49">
                  <c:v>4.7893370290834812E-7</c:v>
                </c:pt>
                <c:pt idx="50">
                  <c:v>4.6935502885018114E-7</c:v>
                </c:pt>
                <c:pt idx="51">
                  <c:v>4.6015198906880498E-7</c:v>
                </c:pt>
                <c:pt idx="52">
                  <c:v>4.5130291235594341E-7</c:v>
                </c:pt>
                <c:pt idx="53">
                  <c:v>4.4278776306620859E-7</c:v>
                </c:pt>
                <c:pt idx="54">
                  <c:v>4.3458798967609364E-7</c:v>
                </c:pt>
                <c:pt idx="55">
                  <c:v>4.2668638986380102E-7</c:v>
                </c:pt>
                <c:pt idx="56">
                  <c:v>4.1906699004480454E-7</c:v>
                </c:pt>
                <c:pt idx="57">
                  <c:v>4.1171493758787818E-7</c:v>
                </c:pt>
                <c:pt idx="58">
                  <c:v>4.0461640418119058E-7</c:v>
                </c:pt>
                <c:pt idx="59">
                  <c:v>3.9775849902557721E-7</c:v>
                </c:pt>
                <c:pt idx="60">
                  <c:v>3.9112919070848431E-7</c:v>
                </c:pt>
                <c:pt idx="61">
                  <c:v>3.8471723676244352E-7</c:v>
                </c:pt>
                <c:pt idx="62">
                  <c:v>3.7851212004046867E-7</c:v>
                </c:pt>
                <c:pt idx="63">
                  <c:v>3.7250399115093736E-7</c:v>
                </c:pt>
                <c:pt idx="64">
                  <c:v>3.6668361628920398E-7</c:v>
                </c:pt>
                <c:pt idx="65">
                  <c:v>3.6104232988475475E-7</c:v>
                </c:pt>
                <c:pt idx="66">
                  <c:v>3.5557199155316749E-7</c:v>
                </c:pt>
                <c:pt idx="67">
                  <c:v>3.5026494690312025E-7</c:v>
                </c:pt>
                <c:pt idx="68">
                  <c:v>3.4511399180160373E-7</c:v>
                </c:pt>
                <c:pt idx="69">
                  <c:v>3.4011233974650804E-7</c:v>
                </c:pt>
                <c:pt idx="70">
                  <c:v>3.3525359203584368E-7</c:v>
                </c:pt>
                <c:pt idx="71">
                  <c:v>3.3053171045787403E-7</c:v>
                </c:pt>
                <c:pt idx="72">
                  <c:v>3.2594099225707023E-7</c:v>
                </c:pt>
                <c:pt idx="73">
                  <c:v>3.2147604715765829E-7</c:v>
                </c:pt>
                <c:pt idx="74">
                  <c:v>3.1713177625012239E-7</c:v>
                </c:pt>
                <c:pt idx="75">
                  <c:v>3.1290335256678742E-7</c:v>
                </c:pt>
                <c:pt idx="76">
                  <c:v>3.0878620319090862E-7</c:v>
                </c:pt>
                <c:pt idx="77">
                  <c:v>3.0477599275985788E-7</c:v>
                </c:pt>
                <c:pt idx="78">
                  <c:v>3.0086860823729559E-7</c:v>
                </c:pt>
                <c:pt idx="79">
                  <c:v>2.9706014484188678E-7</c:v>
                </c:pt>
                <c:pt idx="80">
                  <c:v>2.9334689303136322E-7</c:v>
                </c:pt>
                <c:pt idx="81">
                  <c:v>2.8972532645072913E-7</c:v>
                </c:pt>
                <c:pt idx="82">
                  <c:v>2.8619209076230552E-7</c:v>
                </c:pt>
                <c:pt idx="83">
                  <c:v>2.8274399328324161E-7</c:v>
                </c:pt>
                <c:pt idx="84">
                  <c:v>2.7937799336320305E-7</c:v>
                </c:pt>
                <c:pt idx="85">
                  <c:v>2.7609119344128301E-7</c:v>
                </c:pt>
                <c:pt idx="86">
                  <c:v>2.7288083072684949E-7</c:v>
                </c:pt>
                <c:pt idx="87">
                  <c:v>2.6974426945412709E-7</c:v>
                </c:pt>
                <c:pt idx="88">
                  <c:v>2.6667899366487566E-7</c:v>
                </c:pt>
                <c:pt idx="89">
                  <c:v>2.6368260047762986E-7</c:v>
                </c:pt>
                <c:pt idx="90">
                  <c:v>2.607527938056562E-7</c:v>
                </c:pt>
                <c:pt idx="91">
                  <c:v>2.5788737848911055E-7</c:v>
                </c:pt>
                <c:pt idx="92">
                  <c:v>2.5508425480988103E-7</c:v>
                </c:pt>
                <c:pt idx="93">
                  <c:v>2.5234141336031245E-7</c:v>
                </c:pt>
                <c:pt idx="94">
                  <c:v>2.4965693023945802E-7</c:v>
                </c:pt>
                <c:pt idx="95">
                  <c:v>2.4702896255272691E-7</c:v>
                </c:pt>
                <c:pt idx="96">
                  <c:v>2.4445574419280262E-7</c:v>
                </c:pt>
                <c:pt idx="97">
                  <c:v>2.4193558188153664E-7</c:v>
                </c:pt>
                <c:pt idx="98">
                  <c:v>2.3946685145417406E-7</c:v>
                </c:pt>
                <c:pt idx="99">
                  <c:v>2.3704799436877834E-7</c:v>
                </c:pt>
                <c:pt idx="100">
                  <c:v>2.3467751442509057E-7</c:v>
                </c:pt>
                <c:pt idx="101">
                  <c:v>2.3235397467830745E-7</c:v>
                </c:pt>
                <c:pt idx="102">
                  <c:v>2.3007599453440249E-7</c:v>
                </c:pt>
                <c:pt idx="103">
                  <c:v>2.2784224701465103E-7</c:v>
                </c:pt>
                <c:pt idx="104">
                  <c:v>2.2565145617797171E-7</c:v>
                </c:pt>
                <c:pt idx="105">
                  <c:v>2.2350239469056244E-7</c:v>
                </c:pt>
                <c:pt idx="106">
                  <c:v>2.2139388153310429E-7</c:v>
                </c:pt>
                <c:pt idx="107">
                  <c:v>2.1932477983653321E-7</c:v>
                </c:pt>
                <c:pt idx="108">
                  <c:v>2.1729399483804682E-7</c:v>
                </c:pt>
                <c:pt idx="109">
                  <c:v>2.1530047194962438E-7</c:v>
                </c:pt>
                <c:pt idx="110">
                  <c:v>2.1334319493190051E-7</c:v>
                </c:pt>
                <c:pt idx="111">
                  <c:v>2.1142118416674823E-7</c:v>
                </c:pt>
                <c:pt idx="112">
                  <c:v>2.0953349502240227E-7</c:v>
                </c:pt>
                <c:pt idx="113">
                  <c:v>2.0767921630538987E-7</c:v>
                </c:pt>
                <c:pt idx="114">
                  <c:v>2.0585746879393909E-7</c:v>
                </c:pt>
                <c:pt idx="115">
                  <c:v>2.0406740384790484E-7</c:v>
                </c:pt>
                <c:pt idx="116">
                  <c:v>2.0230820209059529E-7</c:v>
                </c:pt>
                <c:pt idx="117">
                  <c:v>2.0057907215819704E-7</c:v>
                </c:pt>
                <c:pt idx="118">
                  <c:v>1.988792495127886E-7</c:v>
                </c:pt>
                <c:pt idx="119">
                  <c:v>1.9720799531520215E-7</c:v>
                </c:pt>
                <c:pt idx="120">
                  <c:v>1.9556459535424215E-7</c:v>
                </c:pt>
                <c:pt idx="121">
                  <c:v>1.9394835902900044E-7</c:v>
                </c:pt>
                <c:pt idx="122">
                  <c:v>1.9235861838122176E-7</c:v>
                </c:pt>
                <c:pt idx="123">
                  <c:v>1.9079472717487037E-7</c:v>
                </c:pt>
                <c:pt idx="124">
                  <c:v>1.8925606002023434E-7</c:v>
                </c:pt>
                <c:pt idx="125">
                  <c:v>1.8774201154007247E-7</c:v>
                </c:pt>
                <c:pt idx="126">
                  <c:v>1.8625199557546868E-7</c:v>
                </c:pt>
                <c:pt idx="127">
                  <c:v>1.8478544442920517E-7</c:v>
                </c:pt>
                <c:pt idx="128">
                  <c:v>1.8334180814460199E-7</c:v>
                </c:pt>
                <c:pt idx="129">
                  <c:v>1.8192055381789967E-7</c:v>
                </c:pt>
                <c:pt idx="130">
                  <c:v>1.8052116494237738E-7</c:v>
                </c:pt>
                <c:pt idx="131">
                  <c:v>1.7914314078251186E-7</c:v>
                </c:pt>
                <c:pt idx="132">
                  <c:v>1.7778599577658374E-7</c:v>
                </c:pt>
                <c:pt idx="133">
                  <c:v>1.7644925896623352E-7</c:v>
                </c:pt>
                <c:pt idx="134">
                  <c:v>1.7513247345156012E-7</c:v>
                </c:pt>
                <c:pt idx="135">
                  <c:v>1.7383519587043746E-7</c:v>
                </c:pt>
                <c:pt idx="136">
                  <c:v>1.7255699590080187E-7</c:v>
                </c:pt>
                <c:pt idx="137">
                  <c:v>1.7129745578473763E-7</c:v>
                </c:pt>
                <c:pt idx="138">
                  <c:v>1.7005616987325402E-7</c:v>
                </c:pt>
                <c:pt idx="139">
                  <c:v>1.6883274419071263E-7</c:v>
                </c:pt>
                <c:pt idx="140">
                  <c:v>1.6762679601792184E-7</c:v>
                </c:pt>
                <c:pt idx="141">
                  <c:v>1.6643795349297202E-7</c:v>
                </c:pt>
                <c:pt idx="142">
                  <c:v>1.6526585522893701E-7</c:v>
                </c:pt>
                <c:pt idx="143">
                  <c:v>1.6411014994761577E-7</c:v>
                </c:pt>
                <c:pt idx="144">
                  <c:v>1.6297049612853511E-7</c:v>
                </c:pt>
                <c:pt idx="145">
                  <c:v>1.6184656167247627E-7</c:v>
                </c:pt>
                <c:pt idx="146">
                  <c:v>1.6073802357882915E-7</c:v>
                </c:pt>
                <c:pt idx="147">
                  <c:v>1.5964456763611601E-7</c:v>
                </c:pt>
                <c:pt idx="148">
                  <c:v>1.5856588812506119E-7</c:v>
                </c:pt>
                <c:pt idx="149">
                  <c:v>1.5750168753361782E-7</c:v>
                </c:pt>
                <c:pt idx="150">
                  <c:v>1.5645167628339371E-7</c:v>
                </c:pt>
                <c:pt idx="151">
                  <c:v>1.5541557246694738E-7</c:v>
                </c:pt>
                <c:pt idx="152">
                  <c:v>1.5439310159545431E-7</c:v>
                </c:pt>
                <c:pt idx="153">
                  <c:v>1.5338399635626834E-7</c:v>
                </c:pt>
                <c:pt idx="154">
                  <c:v>1.5238799637992894E-7</c:v>
                </c:pt>
                <c:pt idx="155">
                  <c:v>1.5140484801618746E-7</c:v>
                </c:pt>
                <c:pt idx="156">
                  <c:v>1.504343041186478E-7</c:v>
                </c:pt>
                <c:pt idx="157">
                  <c:v>1.4947612383763729E-7</c:v>
                </c:pt>
                <c:pt idx="158">
                  <c:v>1.4853007242094339E-7</c:v>
                </c:pt>
                <c:pt idx="159">
                  <c:v>1.4759592102206955E-7</c:v>
                </c:pt>
                <c:pt idx="160">
                  <c:v>1.4667344651568161E-7</c:v>
                </c:pt>
                <c:pt idx="161">
                  <c:v>1.4576243131993203E-7</c:v>
                </c:pt>
                <c:pt idx="162">
                  <c:v>1.4486266322536456E-7</c:v>
                </c:pt>
                <c:pt idx="163">
                  <c:v>1.439739352301169E-7</c:v>
                </c:pt>
                <c:pt idx="164">
                  <c:v>1.4309604538115276E-7</c:v>
                </c:pt>
                <c:pt idx="165">
                  <c:v>1.4222879662126701E-7</c:v>
                </c:pt>
                <c:pt idx="166">
                  <c:v>1.413719966416208E-7</c:v>
                </c:pt>
                <c:pt idx="167">
                  <c:v>1.4052545773957521E-7</c:v>
                </c:pt>
                <c:pt idx="168">
                  <c:v>1.3968899668160152E-7</c:v>
                </c:pt>
                <c:pt idx="169">
                  <c:v>1.388624345710595E-7</c:v>
                </c:pt>
                <c:pt idx="170">
                  <c:v>1.380455967206415E-7</c:v>
                </c:pt>
                <c:pt idx="171">
                  <c:v>1.3723831252929273E-7</c:v>
                </c:pt>
                <c:pt idx="172">
                  <c:v>1.3644041536342475E-7</c:v>
                </c:pt>
                <c:pt idx="173">
                  <c:v>1.3565174244224889E-7</c:v>
                </c:pt>
                <c:pt idx="174">
                  <c:v>1.3487213472706354E-7</c:v>
                </c:pt>
                <c:pt idx="175">
                  <c:v>1.3410143681433746E-7</c:v>
                </c:pt>
                <c:pt idx="176">
                  <c:v>1.3333949683243783E-7</c:v>
                </c:pt>
                <c:pt idx="177">
                  <c:v>1.325861663418591E-7</c:v>
                </c:pt>
                <c:pt idx="178">
                  <c:v>1.3184130023881493E-7</c:v>
                </c:pt>
                <c:pt idx="179">
                  <c:v>1.3110475666206175E-7</c:v>
                </c:pt>
                <c:pt idx="180">
                  <c:v>1.303763969028281E-7</c:v>
                </c:pt>
                <c:pt idx="181">
                  <c:v>1.296560853177296E-7</c:v>
                </c:pt>
                <c:pt idx="182">
                  <c:v>1.2894368924455528E-7</c:v>
                </c:pt>
                <c:pt idx="183">
                  <c:v>1.2823907892081453E-7</c:v>
                </c:pt>
                <c:pt idx="184">
                  <c:v>1.2754212740494051E-7</c:v>
                </c:pt>
                <c:pt idx="185">
                  <c:v>1.2685271050004896E-7</c:v>
                </c:pt>
                <c:pt idx="186">
                  <c:v>1.2617070668015622E-7</c:v>
                </c:pt>
                <c:pt idx="187">
                  <c:v>1.2549599701876503E-7</c:v>
                </c:pt>
                <c:pt idx="188">
                  <c:v>1.2482846511972901E-7</c:v>
                </c:pt>
                <c:pt idx="189">
                  <c:v>1.2416799705031245E-7</c:v>
                </c:pt>
                <c:pt idx="190">
                  <c:v>1.2351448127636345E-7</c:v>
                </c:pt>
                <c:pt idx="191">
                  <c:v>1.2286780859952386E-7</c:v>
                </c:pt>
                <c:pt idx="192">
                  <c:v>1.2222787209640131E-7</c:v>
                </c:pt>
                <c:pt idx="193">
                  <c:v>1.2159456705963241E-7</c:v>
                </c:pt>
                <c:pt idx="194">
                  <c:v>1.2096779094076832E-7</c:v>
                </c:pt>
                <c:pt idx="195">
                  <c:v>1.2034744329491824E-7</c:v>
                </c:pt>
                <c:pt idx="196">
                  <c:v>1.1973342572708703E-7</c:v>
                </c:pt>
                <c:pt idx="197">
                  <c:v>1.1912564184014748E-7</c:v>
                </c:pt>
                <c:pt idx="198">
                  <c:v>1.1852399718438917E-7</c:v>
                </c:pt>
                <c:pt idx="199">
                  <c:v>1.1792839920858822E-7</c:v>
                </c:pt>
                <c:pt idx="200">
                  <c:v>1.1733875721254528E-7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696168"/>
        <c:axId val="341695776"/>
      </c:scatterChart>
      <c:valAx>
        <c:axId val="341696168"/>
        <c:scaling>
          <c:orientation val="minMax"/>
          <c:max val="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1695776"/>
        <c:crosses val="autoZero"/>
        <c:crossBetween val="midCat"/>
      </c:valAx>
      <c:valAx>
        <c:axId val="341695776"/>
        <c:scaling>
          <c:orientation val="minMax"/>
        </c:scaling>
        <c:delete val="0"/>
        <c:axPos val="l"/>
        <c:majorGridlines/>
        <c:numFmt formatCode="0.000000000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34169616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'Ecoulement (page172)'!$C$4:$C$20</c:f>
              <c:numCache>
                <c:formatCode>General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'Ecoulement (page172)'!$H$4:$H$20</c:f>
              <c:numCache>
                <c:formatCode>0.00000</c:formatCode>
                <c:ptCount val="17"/>
                <c:pt idx="0" formatCode="General">
                  <c:v>0</c:v>
                </c:pt>
                <c:pt idx="1">
                  <c:v>3.1385699999999998E-3</c:v>
                </c:pt>
                <c:pt idx="2">
                  <c:v>8.9164199999999996E-3</c:v>
                </c:pt>
                <c:pt idx="3" formatCode="General">
                  <c:v>4.0678760000000001E-2</c:v>
                </c:pt>
                <c:pt idx="4" formatCode="General">
                  <c:v>9.1407674999999994E-2</c:v>
                </c:pt>
                <c:pt idx="5" formatCode="General">
                  <c:v>0.13238774</c:v>
                </c:pt>
                <c:pt idx="6" formatCode="General">
                  <c:v>0.1163217</c:v>
                </c:pt>
                <c:pt idx="7" formatCode="General">
                  <c:v>9.0121534999999989E-2</c:v>
                </c:pt>
                <c:pt idx="8" formatCode="General">
                  <c:v>6.3466459999999988E-2</c:v>
                </c:pt>
                <c:pt idx="9" formatCode="General">
                  <c:v>4.6089939999999989E-2</c:v>
                </c:pt>
                <c:pt idx="10" formatCode="General">
                  <c:v>3.700100499999999E-2</c:v>
                </c:pt>
                <c:pt idx="11" formatCode="General">
                  <c:v>3.139844499999999E-2</c:v>
                </c:pt>
                <c:pt idx="12" formatCode="General">
                  <c:v>2.720205999999999E-2</c:v>
                </c:pt>
                <c:pt idx="13" formatCode="General">
                  <c:v>2.4512884999999991E-2</c:v>
                </c:pt>
                <c:pt idx="14" formatCode="General">
                  <c:v>2.2980759999999992E-2</c:v>
                </c:pt>
                <c:pt idx="15" formatCode="General">
                  <c:v>2.1945504999999994E-2</c:v>
                </c:pt>
                <c:pt idx="16" formatCode="General">
                  <c:v>2.1036199999999994E-2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695384"/>
        <c:axId val="341698128"/>
      </c:scatterChart>
      <c:valAx>
        <c:axId val="34169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698128"/>
        <c:crosses val="autoZero"/>
        <c:crossBetween val="midCat"/>
      </c:valAx>
      <c:valAx>
        <c:axId val="34169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1695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'Ecoulement (page172)'!$F$3</c:f>
              <c:strCache>
                <c:ptCount val="1"/>
                <c:pt idx="0">
                  <c:v>Volume ecoulé
par intervalle
de temps en m</c:v>
                </c:pt>
              </c:strCache>
            </c:strRef>
          </c:tx>
          <c:invertIfNegative val="0"/>
          <c:val>
            <c:numRef>
              <c:f>'Ecoulement (page172)'!$F$5:$F$20</c:f>
              <c:numCache>
                <c:formatCode>0.00000</c:formatCode>
                <c:ptCount val="16"/>
                <c:pt idx="0">
                  <c:v>6.2142999999999996E-4</c:v>
                </c:pt>
                <c:pt idx="1">
                  <c:v>7.3214999999999999E-4</c:v>
                </c:pt>
                <c:pt idx="2">
                  <c:v>1.5376600000000002E-3</c:v>
                </c:pt>
                <c:pt idx="3">
                  <c:v>4.3610849999999998E-3</c:v>
                </c:pt>
                <c:pt idx="4">
                  <c:v>1.1099935E-2</c:v>
                </c:pt>
                <c:pt idx="5">
                  <c:v>2.1076039999999997E-2</c:v>
                </c:pt>
                <c:pt idx="6">
                  <c:v>2.8450165000000006E-2</c:v>
                </c:pt>
                <c:pt idx="7">
                  <c:v>2.6655075E-2</c:v>
                </c:pt>
                <c:pt idx="8">
                  <c:v>1.7376519999999999E-2</c:v>
                </c:pt>
                <c:pt idx="9">
                  <c:v>9.0889350000000011E-3</c:v>
                </c:pt>
                <c:pt idx="10">
                  <c:v>5.6025600000000004E-3</c:v>
                </c:pt>
                <c:pt idx="11">
                  <c:v>4.1963849999999995E-3</c:v>
                </c:pt>
                <c:pt idx="12">
                  <c:v>2.6891749999999998E-3</c:v>
                </c:pt>
                <c:pt idx="13">
                  <c:v>1.5321250000000001E-3</c:v>
                </c:pt>
                <c:pt idx="14">
                  <c:v>1.0352550000000001E-3</c:v>
                </c:pt>
                <c:pt idx="15">
                  <c:v>9.0930500000000001E-4</c:v>
                </c:pt>
              </c:numCache>
            </c:numRef>
          </c:val>
        </c:ser>
        <c:ser>
          <c:idx val="1"/>
          <c:order val="1"/>
          <c:tx>
            <c:strRef>
              <c:f>'Ecoulement (page172)'!$G$3</c:f>
              <c:strCache>
                <c:ptCount val="1"/>
                <c:pt idx="0">
                  <c:v>Stockage 
par intervalle 
de temps en m</c:v>
                </c:pt>
              </c:strCache>
            </c:strRef>
          </c:tx>
          <c:invertIfNegative val="0"/>
          <c:val>
            <c:numRef>
              <c:f>'Ecoulement (page172)'!$G$5:$G$20</c:f>
              <c:numCache>
                <c:formatCode>0.00000</c:formatCode>
                <c:ptCount val="16"/>
                <c:pt idx="0">
                  <c:v>3.1385699999999998E-3</c:v>
                </c:pt>
                <c:pt idx="1">
                  <c:v>5.7778500000000002E-3</c:v>
                </c:pt>
                <c:pt idx="2" formatCode="General">
                  <c:v>3.176234E-2</c:v>
                </c:pt>
                <c:pt idx="3" formatCode="General">
                  <c:v>5.0728914999999999E-2</c:v>
                </c:pt>
                <c:pt idx="4" formatCode="General">
                  <c:v>4.0980065000000003E-2</c:v>
                </c:pt>
                <c:pt idx="5" formatCode="General">
                  <c:v>-1.6066039999999997E-2</c:v>
                </c:pt>
                <c:pt idx="6" formatCode="General">
                  <c:v>-2.6200165000000008E-2</c:v>
                </c:pt>
                <c:pt idx="7" formatCode="General">
                  <c:v>-2.6655075E-2</c:v>
                </c:pt>
                <c:pt idx="8" formatCode="General">
                  <c:v>-1.7376519999999999E-2</c:v>
                </c:pt>
                <c:pt idx="9" formatCode="General">
                  <c:v>-9.0889350000000011E-3</c:v>
                </c:pt>
                <c:pt idx="10" formatCode="General">
                  <c:v>-5.6025600000000004E-3</c:v>
                </c:pt>
                <c:pt idx="11" formatCode="General">
                  <c:v>-4.1963849999999995E-3</c:v>
                </c:pt>
                <c:pt idx="12" formatCode="General">
                  <c:v>-2.6891749999999998E-3</c:v>
                </c:pt>
                <c:pt idx="13" formatCode="General">
                  <c:v>-1.5321250000000001E-3</c:v>
                </c:pt>
                <c:pt idx="14" formatCode="General">
                  <c:v>-1.0352550000000001E-3</c:v>
                </c:pt>
                <c:pt idx="15" formatCode="General">
                  <c:v>-9.0930500000000001E-4</c:v>
                </c:pt>
              </c:numCache>
            </c:numRef>
          </c:val>
        </c:ser>
        <c:ser>
          <c:idx val="2"/>
          <c:order val="2"/>
          <c:tx>
            <c:strRef>
              <c:f>'Ecoulement (page172)'!$D$3</c:f>
              <c:strCache>
                <c:ptCount val="1"/>
                <c:pt idx="0">
                  <c:v>Precipitation
par intervalle de
temps en m</c:v>
                </c:pt>
              </c:strCache>
            </c:strRef>
          </c:tx>
          <c:invertIfNegative val="0"/>
          <c:val>
            <c:numRef>
              <c:f>'Ecoulement (page172)'!$D$4:$D$11</c:f>
              <c:numCache>
                <c:formatCode>General</c:formatCode>
                <c:ptCount val="8"/>
                <c:pt idx="0">
                  <c:v>0</c:v>
                </c:pt>
                <c:pt idx="1">
                  <c:v>3.7599999999999999E-3</c:v>
                </c:pt>
                <c:pt idx="2">
                  <c:v>6.5100000000000002E-3</c:v>
                </c:pt>
                <c:pt idx="3">
                  <c:v>3.3300000000000003E-2</c:v>
                </c:pt>
                <c:pt idx="4">
                  <c:v>5.509E-2</c:v>
                </c:pt>
                <c:pt idx="5">
                  <c:v>5.2080000000000001E-2</c:v>
                </c:pt>
                <c:pt idx="6">
                  <c:v>5.0099999999999997E-3</c:v>
                </c:pt>
                <c:pt idx="7">
                  <c:v>2.2499999999999998E-3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96952"/>
        <c:axId val="341697736"/>
      </c:barChart>
      <c:catAx>
        <c:axId val="341696952"/>
        <c:scaling>
          <c:orientation val="minMax"/>
        </c:scaling>
        <c:delete val="0"/>
        <c:axPos val="b"/>
        <c:majorTickMark val="out"/>
        <c:minorTickMark val="none"/>
        <c:tickLblPos val="nextTo"/>
        <c:crossAx val="341697736"/>
        <c:crosses val="autoZero"/>
        <c:auto val="1"/>
        <c:lblAlgn val="ctr"/>
        <c:lblOffset val="100"/>
        <c:noMultiLvlLbl val="0"/>
      </c:catAx>
      <c:valAx>
        <c:axId val="341697736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341696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314324</xdr:colOff>
      <xdr:row>2</xdr:row>
      <xdr:rowOff>138111</xdr:rowOff>
    </xdr:from>
    <xdr:to>
      <xdr:col>17</xdr:col>
      <xdr:colOff>342899</xdr:colOff>
      <xdr:row>17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85725</xdr:colOff>
      <xdr:row>19</xdr:row>
      <xdr:rowOff>95250</xdr:rowOff>
    </xdr:from>
    <xdr:to>
      <xdr:col>17</xdr:col>
      <xdr:colOff>123825</xdr:colOff>
      <xdr:row>34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452157</xdr:colOff>
      <xdr:row>0</xdr:row>
      <xdr:rowOff>179293</xdr:rowOff>
    </xdr:from>
    <xdr:to>
      <xdr:col>21</xdr:col>
      <xdr:colOff>33618</xdr:colOff>
      <xdr:row>17</xdr:row>
      <xdr:rowOff>131668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476249</xdr:colOff>
      <xdr:row>22</xdr:row>
      <xdr:rowOff>47624</xdr:rowOff>
    </xdr:from>
    <xdr:to>
      <xdr:col>20</xdr:col>
      <xdr:colOff>438150</xdr:colOff>
      <xdr:row>40</xdr:row>
      <xdr:rowOff>19049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4:D15"/>
  <sheetViews>
    <sheetView view="pageLayout" zoomScaleNormal="100" workbookViewId="0">
      <selection activeCell="E11" sqref="E11"/>
    </sheetView>
  </sheetViews>
  <sheetFormatPr defaultColWidth="9.109375" defaultRowHeight="14.4" x14ac:dyDescent="0.3"/>
  <cols>
    <col min="1" max="1" width="9.109375" style="1"/>
    <col min="2" max="2" width="11.6640625" style="1" customWidth="1"/>
    <col min="3" max="3" width="11.5546875" style="1" customWidth="1"/>
    <col min="4" max="4" width="16" style="1" customWidth="1"/>
    <col min="5" max="16384" width="9.109375" style="1"/>
  </cols>
  <sheetData>
    <row r="4" spans="2:4" x14ac:dyDescent="0.3">
      <c r="C4" s="26" t="s">
        <v>57</v>
      </c>
      <c r="D4" s="17">
        <v>90</v>
      </c>
    </row>
    <row r="5" spans="2:4" x14ac:dyDescent="0.3">
      <c r="C5" s="26" t="s">
        <v>82</v>
      </c>
      <c r="D5" s="17">
        <v>15</v>
      </c>
    </row>
    <row r="6" spans="2:4" x14ac:dyDescent="0.3">
      <c r="C6" s="26" t="s">
        <v>58</v>
      </c>
      <c r="D6" s="17">
        <v>6</v>
      </c>
    </row>
    <row r="7" spans="2:4" x14ac:dyDescent="0.3">
      <c r="C7" s="18"/>
      <c r="D7" s="18"/>
    </row>
    <row r="8" spans="2:4" x14ac:dyDescent="0.3">
      <c r="B8" s="10" t="s">
        <v>59</v>
      </c>
      <c r="C8" s="26" t="s">
        <v>32</v>
      </c>
      <c r="D8" s="17">
        <f>D6*D4/0.622</f>
        <v>868.16720257234726</v>
      </c>
    </row>
    <row r="9" spans="2:4" x14ac:dyDescent="0.3">
      <c r="C9" s="18"/>
      <c r="D9" s="18"/>
    </row>
    <row r="10" spans="2:4" x14ac:dyDescent="0.3">
      <c r="C10" s="26" t="s">
        <v>60</v>
      </c>
      <c r="D10" s="17">
        <f>611*EXP(17.27*D5/(237.3+D5))</f>
        <v>1705.9046297032364</v>
      </c>
    </row>
    <row r="11" spans="2:4" x14ac:dyDescent="0.3">
      <c r="C11" s="27" t="s">
        <v>61</v>
      </c>
      <c r="D11" s="17">
        <f>100*(D8/D10)</f>
        <v>50.891895564136888</v>
      </c>
    </row>
    <row r="12" spans="2:4" x14ac:dyDescent="0.3">
      <c r="C12" s="18"/>
      <c r="D12" s="18"/>
    </row>
    <row r="13" spans="2:4" x14ac:dyDescent="0.3">
      <c r="B13" s="2"/>
      <c r="C13" s="18"/>
      <c r="D13" s="18"/>
    </row>
    <row r="14" spans="2:4" x14ac:dyDescent="0.3">
      <c r="C14" s="26" t="s">
        <v>32</v>
      </c>
      <c r="D14" s="17">
        <f>611*EXP((17.27*D15)/(237.3+D15))</f>
        <v>868.1672048289339</v>
      </c>
    </row>
    <row r="15" spans="2:4" x14ac:dyDescent="0.3">
      <c r="C15" s="26" t="s">
        <v>62</v>
      </c>
      <c r="D15" s="19">
        <v>4.9271179514222503</v>
      </c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T19"/>
  <sheetViews>
    <sheetView workbookViewId="0">
      <selection activeCell="F31" sqref="F31"/>
    </sheetView>
  </sheetViews>
  <sheetFormatPr defaultColWidth="9.109375" defaultRowHeight="14.4" x14ac:dyDescent="0.3"/>
  <cols>
    <col min="1" max="1" width="9.109375" style="1"/>
    <col min="2" max="2" width="22.33203125" style="1" customWidth="1"/>
    <col min="3" max="3" width="9.109375" style="1"/>
    <col min="4" max="4" width="10.5546875" style="1" customWidth="1"/>
    <col min="5" max="7" width="9.109375" style="1"/>
    <col min="8" max="8" width="11.88671875" style="1" customWidth="1"/>
    <col min="9" max="9" width="12.44140625" style="1" customWidth="1"/>
    <col min="10" max="10" width="9.109375" style="1"/>
    <col min="11" max="11" width="13.6640625" style="1" customWidth="1"/>
    <col min="12" max="16384" width="9.109375" style="1"/>
  </cols>
  <sheetData>
    <row r="3" spans="2:20" x14ac:dyDescent="0.3">
      <c r="B3" s="8" t="s">
        <v>26</v>
      </c>
      <c r="C3" s="9">
        <v>20</v>
      </c>
      <c r="D3" s="9" t="s">
        <v>28</v>
      </c>
    </row>
    <row r="4" spans="2:20" x14ac:dyDescent="0.3">
      <c r="B4" s="8" t="s">
        <v>27</v>
      </c>
      <c r="C4" s="9">
        <v>16</v>
      </c>
      <c r="D4" s="9" t="s">
        <v>28</v>
      </c>
    </row>
    <row r="5" spans="2:20" x14ac:dyDescent="0.3">
      <c r="B5" s="8" t="s">
        <v>52</v>
      </c>
      <c r="C5" s="9">
        <v>101.5</v>
      </c>
      <c r="D5" s="9" t="s">
        <v>53</v>
      </c>
    </row>
    <row r="7" spans="2:20" ht="15" customHeight="1" x14ac:dyDescent="0.3">
      <c r="B7" s="46" t="s">
        <v>29</v>
      </c>
      <c r="C7" s="44" t="s">
        <v>74</v>
      </c>
      <c r="D7" s="45">
        <f>611*EXP(17.27*C3/(237.3+C3))</f>
        <v>2339.0469163992625</v>
      </c>
      <c r="E7" s="45" t="s">
        <v>30</v>
      </c>
    </row>
    <row r="8" spans="2:20" x14ac:dyDescent="0.3">
      <c r="B8" s="46"/>
      <c r="C8" s="44"/>
      <c r="D8" s="45"/>
      <c r="E8" s="45"/>
    </row>
    <row r="9" spans="2:20" x14ac:dyDescent="0.3">
      <c r="B9" s="46"/>
      <c r="C9" s="44"/>
      <c r="D9" s="45"/>
      <c r="E9" s="45"/>
    </row>
    <row r="10" spans="2:20" x14ac:dyDescent="0.3">
      <c r="H10" s="46" t="s">
        <v>33</v>
      </c>
      <c r="I10" s="44" t="s">
        <v>75</v>
      </c>
      <c r="J10" s="48">
        <f>D14/D7</f>
        <v>0.77761674914513301</v>
      </c>
    </row>
    <row r="11" spans="2:20" x14ac:dyDescent="0.3">
      <c r="H11" s="44"/>
      <c r="I11" s="44"/>
      <c r="J11" s="48"/>
      <c r="T11" s="2"/>
    </row>
    <row r="13" spans="2:20" ht="15" customHeight="1" x14ac:dyDescent="0.3">
      <c r="B13" s="46" t="s">
        <v>31</v>
      </c>
    </row>
    <row r="14" spans="2:20" x14ac:dyDescent="0.3">
      <c r="B14" s="46"/>
      <c r="C14" s="44" t="s">
        <v>32</v>
      </c>
      <c r="D14" s="45">
        <f>611*EXP(17.27*C4/(237.3+C4))</f>
        <v>1818.8820592283423</v>
      </c>
      <c r="E14" s="45" t="s">
        <v>30</v>
      </c>
      <c r="H14" s="46" t="s">
        <v>34</v>
      </c>
      <c r="I14" s="46" t="s">
        <v>35</v>
      </c>
      <c r="J14" s="45">
        <f>0.622*D14/100000</f>
        <v>1.1313446408400289E-2</v>
      </c>
      <c r="K14" s="47" t="s">
        <v>36</v>
      </c>
    </row>
    <row r="15" spans="2:20" x14ac:dyDescent="0.3">
      <c r="B15" s="46"/>
      <c r="C15" s="44"/>
      <c r="D15" s="45"/>
      <c r="E15" s="45"/>
      <c r="H15" s="44"/>
      <c r="I15" s="44"/>
      <c r="J15" s="45"/>
      <c r="K15" s="45"/>
    </row>
    <row r="16" spans="2:20" x14ac:dyDescent="0.3">
      <c r="B16" s="12"/>
    </row>
    <row r="18" spans="2:4" x14ac:dyDescent="0.3">
      <c r="B18" s="8" t="s">
        <v>79</v>
      </c>
      <c r="C18" s="9">
        <f>287*(1+J14*0.608)</f>
        <v>288.97415114448023</v>
      </c>
      <c r="D18" s="9" t="s">
        <v>50</v>
      </c>
    </row>
    <row r="19" spans="2:4" x14ac:dyDescent="0.3">
      <c r="B19" s="8" t="s">
        <v>51</v>
      </c>
      <c r="C19" s="9">
        <f>(C5*10^3)/(C18*(273+C3))</f>
        <v>1.1987798247025898</v>
      </c>
      <c r="D19" s="9" t="s">
        <v>54</v>
      </c>
    </row>
  </sheetData>
  <mergeCells count="15">
    <mergeCell ref="K14:K15"/>
    <mergeCell ref="H10:H11"/>
    <mergeCell ref="I10:I11"/>
    <mergeCell ref="J10:J11"/>
    <mergeCell ref="H14:H15"/>
    <mergeCell ref="I14:I15"/>
    <mergeCell ref="J14:J15"/>
    <mergeCell ref="C14:C15"/>
    <mergeCell ref="D14:D15"/>
    <mergeCell ref="E14:E15"/>
    <mergeCell ref="B13:B15"/>
    <mergeCell ref="B7:B9"/>
    <mergeCell ref="C7:C9"/>
    <mergeCell ref="D7:D9"/>
    <mergeCell ref="E7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L19"/>
  <sheetViews>
    <sheetView zoomScaleNormal="100" workbookViewId="0">
      <selection activeCell="I22" sqref="I22"/>
    </sheetView>
  </sheetViews>
  <sheetFormatPr defaultColWidth="9.109375" defaultRowHeight="14.4" x14ac:dyDescent="0.3"/>
  <cols>
    <col min="1" max="1" width="9.109375" style="1"/>
    <col min="2" max="2" width="20.6640625" style="1" bestFit="1" customWidth="1"/>
    <col min="3" max="3" width="12.44140625" style="1" customWidth="1"/>
    <col min="4" max="4" width="15.33203125" style="1" customWidth="1"/>
    <col min="5" max="5" width="38" style="1" customWidth="1"/>
    <col min="6" max="6" width="31.6640625" style="1" customWidth="1"/>
    <col min="7" max="7" width="21.5546875" style="1" customWidth="1"/>
    <col min="8" max="9" width="18" style="1" customWidth="1"/>
    <col min="10" max="10" width="14.44140625" style="1" customWidth="1"/>
    <col min="11" max="11" width="14.5546875" style="1" customWidth="1"/>
    <col min="12" max="12" width="11" style="1" customWidth="1"/>
    <col min="13" max="16384" width="9.109375" style="1"/>
  </cols>
  <sheetData>
    <row r="5" spans="1:12" x14ac:dyDescent="0.3">
      <c r="B5" s="22" t="s">
        <v>10</v>
      </c>
      <c r="C5" s="10">
        <v>10</v>
      </c>
      <c r="D5" s="10" t="s">
        <v>0</v>
      </c>
    </row>
    <row r="6" spans="1:12" x14ac:dyDescent="0.3">
      <c r="B6" s="8" t="s">
        <v>1</v>
      </c>
      <c r="C6" s="10">
        <f>1</f>
        <v>1</v>
      </c>
      <c r="D6" s="10" t="s">
        <v>2</v>
      </c>
    </row>
    <row r="7" spans="1:12" x14ac:dyDescent="0.3">
      <c r="B7" s="23" t="s">
        <v>3</v>
      </c>
      <c r="C7" s="10">
        <f>0.0065</f>
        <v>6.4999999999999997E-3</v>
      </c>
      <c r="D7" s="21" t="s">
        <v>4</v>
      </c>
    </row>
    <row r="8" spans="1:12" x14ac:dyDescent="0.3">
      <c r="B8" s="8" t="s">
        <v>80</v>
      </c>
      <c r="C8" s="10">
        <f>287</f>
        <v>287</v>
      </c>
      <c r="D8" s="10" t="s">
        <v>48</v>
      </c>
    </row>
    <row r="9" spans="1:12" ht="24" customHeight="1" x14ac:dyDescent="0.3">
      <c r="B9" s="8" t="s">
        <v>6</v>
      </c>
      <c r="C9" s="10">
        <f>9.81</f>
        <v>9.81</v>
      </c>
      <c r="D9" s="10" t="s">
        <v>49</v>
      </c>
    </row>
    <row r="10" spans="1:12" ht="24.75" customHeight="1" x14ac:dyDescent="0.3">
      <c r="B10" s="8" t="s">
        <v>81</v>
      </c>
      <c r="C10" s="10">
        <v>28</v>
      </c>
      <c r="D10" s="10" t="s">
        <v>11</v>
      </c>
    </row>
    <row r="11" spans="1:12" ht="60" customHeight="1" x14ac:dyDescent="0.3">
      <c r="E11" s="24" t="s">
        <v>14</v>
      </c>
      <c r="F11" s="8" t="s">
        <v>13</v>
      </c>
      <c r="G11" s="24" t="s">
        <v>18</v>
      </c>
      <c r="H11" s="8" t="s">
        <v>17</v>
      </c>
      <c r="K11" s="24" t="s">
        <v>73</v>
      </c>
    </row>
    <row r="12" spans="1:12" ht="60" customHeight="1" x14ac:dyDescent="0.3">
      <c r="A12" s="3"/>
      <c r="B12" s="5" t="s">
        <v>19</v>
      </c>
      <c r="C12" s="5" t="s">
        <v>7</v>
      </c>
      <c r="D12" s="5" t="s">
        <v>8</v>
      </c>
      <c r="E12" s="5" t="s">
        <v>9</v>
      </c>
      <c r="F12" s="5" t="s">
        <v>12</v>
      </c>
      <c r="G12" s="5" t="s">
        <v>16</v>
      </c>
      <c r="H12" s="5" t="s">
        <v>15</v>
      </c>
      <c r="I12" s="5" t="s">
        <v>23</v>
      </c>
      <c r="J12" s="5" t="s">
        <v>20</v>
      </c>
      <c r="K12" s="5" t="s">
        <v>22</v>
      </c>
      <c r="L12" s="25" t="s">
        <v>24</v>
      </c>
    </row>
    <row r="13" spans="1:12" x14ac:dyDescent="0.3">
      <c r="B13" s="4">
        <f>0</f>
        <v>0</v>
      </c>
      <c r="C13" s="4">
        <v>30</v>
      </c>
      <c r="D13" s="4">
        <f>C13+273</f>
        <v>303</v>
      </c>
      <c r="E13" s="4">
        <v>101.3</v>
      </c>
      <c r="F13" s="4">
        <f>(E13*1000)/($C$8*D13)</f>
        <v>1.1648900081645794</v>
      </c>
      <c r="G13" s="4">
        <f>(611*EXP(17.27*C13/(237.3+C13)))*10^-3</f>
        <v>4.2444544055366036</v>
      </c>
      <c r="H13" s="4">
        <f>0.622*(G13/E13)</f>
        <v>2.6061704247223767E-2</v>
      </c>
      <c r="I13" s="4" t="s">
        <v>21</v>
      </c>
      <c r="J13" s="4" t="s">
        <v>21</v>
      </c>
      <c r="K13" s="4" t="s">
        <v>21</v>
      </c>
      <c r="L13" s="4" t="s">
        <v>21</v>
      </c>
    </row>
    <row r="14" spans="1:12" x14ac:dyDescent="0.3">
      <c r="B14" s="4">
        <f>2000</f>
        <v>2000</v>
      </c>
      <c r="C14" s="4">
        <f>C13-($C$7*(B14-B13))</f>
        <v>17</v>
      </c>
      <c r="D14" s="4">
        <f>C14+273</f>
        <v>290</v>
      </c>
      <c r="E14" s="4">
        <f>E13*(D14/D13)^($C$9/($C$7*$C$8))</f>
        <v>80.437861642089047</v>
      </c>
      <c r="F14" s="4">
        <f t="shared" ref="F14:F18" si="0">(E14*1000)/($C$8*D14)</f>
        <v>0.96645274110403756</v>
      </c>
      <c r="G14" s="4">
        <f t="shared" ref="G14:G18" si="1">(611*EXP(17.27*C14/(237.3+C14)))*10^-3</f>
        <v>1.9383638408527206</v>
      </c>
      <c r="H14" s="4">
        <f t="shared" ref="H14:H18" si="2">0.622*(G14/E14)</f>
        <v>1.4988741425959668E-2</v>
      </c>
      <c r="I14" s="4">
        <f>AVERAGE(H13:H14)</f>
        <v>2.0525222836591719E-2</v>
      </c>
      <c r="J14" s="4">
        <f>(F13+F14)/2</f>
        <v>1.0656713746343085</v>
      </c>
      <c r="K14" s="4">
        <f>I14*(B14-B13)*$C$6*J14</f>
        <v>43.746284869892399</v>
      </c>
      <c r="L14" s="11">
        <f>K14/K$19</f>
        <v>0.56787554546665031</v>
      </c>
    </row>
    <row r="15" spans="1:12" x14ac:dyDescent="0.3">
      <c r="B15" s="4">
        <f>4000</f>
        <v>4000</v>
      </c>
      <c r="C15" s="4">
        <f>C14-($C$7*(B15-B14))</f>
        <v>4</v>
      </c>
      <c r="D15" s="4">
        <f t="shared" ref="D15:D18" si="3">C15+273</f>
        <v>277</v>
      </c>
      <c r="E15" s="4">
        <f t="shared" ref="E15:E18" si="4">E14*(D15/D14)^($C$9/($C$7*$C$8))</f>
        <v>63.200082664699913</v>
      </c>
      <c r="F15" s="4">
        <f t="shared" si="0"/>
        <v>0.79497959300997389</v>
      </c>
      <c r="G15" s="4">
        <f t="shared" si="1"/>
        <v>0.81352738957079329</v>
      </c>
      <c r="H15" s="4">
        <f t="shared" si="2"/>
        <v>8.0065407350434527E-3</v>
      </c>
      <c r="I15" s="4">
        <f>AVERAGE(H14:H15)</f>
        <v>1.149764108050156E-2</v>
      </c>
      <c r="J15" s="4">
        <f>(F14+F15)/2</f>
        <v>0.88071616705700573</v>
      </c>
      <c r="K15" s="4">
        <f t="shared" ref="K15:K18" si="5">I15*(B15-B14)*$C$6*J15</f>
        <v>20.252316765233005</v>
      </c>
      <c r="L15" s="11">
        <f t="shared" ref="L15:L18" si="6">K15/K$19</f>
        <v>0.26289764866262499</v>
      </c>
    </row>
    <row r="16" spans="1:12" x14ac:dyDescent="0.3">
      <c r="B16" s="4">
        <f>6000</f>
        <v>6000</v>
      </c>
      <c r="C16" s="4">
        <f t="shared" ref="C16:C18" si="7">C15-($C$7*(B16-B15))</f>
        <v>-9</v>
      </c>
      <c r="D16" s="4">
        <f t="shared" si="3"/>
        <v>264</v>
      </c>
      <c r="E16" s="4">
        <f t="shared" si="4"/>
        <v>49.083896119967591</v>
      </c>
      <c r="F16" s="4">
        <f t="shared" si="0"/>
        <v>0.64781828898700755</v>
      </c>
      <c r="G16" s="4">
        <f t="shared" si="1"/>
        <v>0.30929089496172113</v>
      </c>
      <c r="H16" s="4">
        <f t="shared" si="2"/>
        <v>3.9193901029370357E-3</v>
      </c>
      <c r="I16" s="4">
        <f t="shared" ref="I16:I18" si="8">AVERAGE(H15:H16)</f>
        <v>5.9629654189902442E-3</v>
      </c>
      <c r="J16" s="4">
        <f t="shared" ref="J16:J18" si="9">(F15+F16)/2</f>
        <v>0.72139894099849067</v>
      </c>
      <c r="K16" s="4">
        <f t="shared" si="5"/>
        <v>8.6033538769403659</v>
      </c>
      <c r="L16" s="11">
        <f t="shared" si="6"/>
        <v>0.11168112424268012</v>
      </c>
    </row>
    <row r="17" spans="2:12" x14ac:dyDescent="0.3">
      <c r="B17" s="4">
        <f>8000</f>
        <v>8000</v>
      </c>
      <c r="C17" s="4">
        <f t="shared" si="7"/>
        <v>-22</v>
      </c>
      <c r="D17" s="4">
        <f t="shared" si="3"/>
        <v>251</v>
      </c>
      <c r="E17" s="4">
        <f t="shared" si="4"/>
        <v>37.63707719601301</v>
      </c>
      <c r="F17" s="4">
        <f t="shared" si="0"/>
        <v>0.52246869242213045</v>
      </c>
      <c r="G17" s="4">
        <f t="shared" si="1"/>
        <v>0.10462646605140566</v>
      </c>
      <c r="H17" s="4">
        <f t="shared" si="2"/>
        <v>1.7290838378615692E-3</v>
      </c>
      <c r="I17" s="4">
        <f t="shared" si="8"/>
        <v>2.8242369703993025E-3</v>
      </c>
      <c r="J17" s="4">
        <f t="shared" si="9"/>
        <v>0.58514349070456895</v>
      </c>
      <c r="K17" s="4">
        <f t="shared" si="5"/>
        <v>3.3051677588726887</v>
      </c>
      <c r="L17" s="11">
        <f t="shared" si="6"/>
        <v>4.2904762073187462E-2</v>
      </c>
    </row>
    <row r="18" spans="2:12" x14ac:dyDescent="0.3">
      <c r="B18" s="4">
        <f>10000</f>
        <v>10000</v>
      </c>
      <c r="C18" s="4">
        <f t="shared" si="7"/>
        <v>-35</v>
      </c>
      <c r="D18" s="4">
        <f t="shared" si="3"/>
        <v>238</v>
      </c>
      <c r="E18" s="4">
        <f t="shared" si="4"/>
        <v>28.454976605088326</v>
      </c>
      <c r="F18" s="4">
        <f t="shared" si="0"/>
        <v>0.41658092415144093</v>
      </c>
      <c r="G18" s="4">
        <f t="shared" si="1"/>
        <v>3.0790545723063948E-2</v>
      </c>
      <c r="H18" s="4">
        <f t="shared" si="2"/>
        <v>6.7305342420562945E-4</v>
      </c>
      <c r="I18" s="4">
        <f t="shared" si="8"/>
        <v>1.2010686310335993E-3</v>
      </c>
      <c r="J18" s="4">
        <f t="shared" si="9"/>
        <v>0.46952480828678567</v>
      </c>
      <c r="K18" s="4">
        <f t="shared" si="5"/>
        <v>1.1278630374506458</v>
      </c>
      <c r="L18" s="11">
        <f t="shared" si="6"/>
        <v>1.4640919554857135E-2</v>
      </c>
    </row>
    <row r="19" spans="2:12" x14ac:dyDescent="0.3">
      <c r="J19" s="4" t="s">
        <v>25</v>
      </c>
      <c r="K19" s="4">
        <f>SUM(K14:K18)</f>
        <v>77.034986308389108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3"/>
  <sheetViews>
    <sheetView workbookViewId="0">
      <selection activeCell="A14" sqref="A14"/>
    </sheetView>
  </sheetViews>
  <sheetFormatPr defaultColWidth="9.109375" defaultRowHeight="14.4" x14ac:dyDescent="0.3"/>
  <cols>
    <col min="1" max="1" width="9.109375" style="13"/>
    <col min="2" max="2" width="10.88671875" style="1" bestFit="1" customWidth="1"/>
    <col min="3" max="4" width="9.109375" style="1"/>
    <col min="5" max="5" width="13.33203125" style="1" customWidth="1"/>
    <col min="6" max="16384" width="9.109375" style="1"/>
  </cols>
  <sheetData>
    <row r="1" spans="2:6" x14ac:dyDescent="0.3">
      <c r="B1" s="8" t="s">
        <v>83</v>
      </c>
      <c r="C1" s="7">
        <v>1000</v>
      </c>
      <c r="D1" s="13"/>
      <c r="E1" s="6"/>
    </row>
    <row r="2" spans="2:6" x14ac:dyDescent="0.3">
      <c r="B2" s="8" t="s">
        <v>84</v>
      </c>
      <c r="C2" s="7">
        <v>850</v>
      </c>
      <c r="D2" s="13"/>
      <c r="E2" s="6"/>
    </row>
    <row r="4" spans="2:6" ht="16.2" x14ac:dyDescent="0.3">
      <c r="B4" s="17" t="s">
        <v>85</v>
      </c>
      <c r="C4" s="7">
        <v>10</v>
      </c>
      <c r="D4" s="13"/>
    </row>
    <row r="5" spans="2:6" ht="15.6" x14ac:dyDescent="0.3">
      <c r="B5" s="17" t="s">
        <v>86</v>
      </c>
      <c r="C5" s="7">
        <f>C4+273</f>
        <v>283</v>
      </c>
      <c r="D5" s="13"/>
    </row>
    <row r="6" spans="2:6" x14ac:dyDescent="0.3">
      <c r="B6" s="17" t="s">
        <v>5</v>
      </c>
      <c r="C6" s="7">
        <v>287</v>
      </c>
      <c r="D6" s="13"/>
      <c r="E6" s="13"/>
    </row>
    <row r="7" spans="2:6" x14ac:dyDescent="0.3">
      <c r="B7" s="17" t="s">
        <v>6</v>
      </c>
      <c r="C7" s="7">
        <v>9.81</v>
      </c>
      <c r="D7" s="13"/>
    </row>
    <row r="9" spans="2:6" x14ac:dyDescent="0.3">
      <c r="B9" s="49" t="s">
        <v>55</v>
      </c>
      <c r="C9" s="49"/>
      <c r="D9" s="49"/>
      <c r="E9" s="49"/>
      <c r="F9" s="49"/>
    </row>
    <row r="11" spans="2:6" x14ac:dyDescent="0.3">
      <c r="C11" s="44" t="s">
        <v>56</v>
      </c>
      <c r="D11" s="44"/>
      <c r="E11" s="44"/>
    </row>
    <row r="13" spans="2:6" x14ac:dyDescent="0.3">
      <c r="C13" s="26" t="s">
        <v>87</v>
      </c>
      <c r="D13" s="8">
        <f>(1/C7)*C6*(LN(C1)-LN(C2))*C5</f>
        <v>1345.5606496165872</v>
      </c>
      <c r="E13" s="13"/>
    </row>
  </sheetData>
  <mergeCells count="2">
    <mergeCell ref="C11:E11"/>
    <mergeCell ref="B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"/>
  <sheetViews>
    <sheetView tabSelected="1" view="pageLayout" zoomScaleNormal="100" workbookViewId="0">
      <selection activeCell="H7" sqref="H7"/>
    </sheetView>
  </sheetViews>
  <sheetFormatPr defaultColWidth="9.109375" defaultRowHeight="14.4" x14ac:dyDescent="0.3"/>
  <cols>
    <col min="1" max="1" width="9.109375" style="13"/>
    <col min="2" max="5" width="9.109375" style="1"/>
    <col min="6" max="6" width="10.33203125" style="1" bestFit="1" customWidth="1"/>
    <col min="7" max="16384" width="9.109375" style="1"/>
  </cols>
  <sheetData>
    <row r="1" spans="2:6" x14ac:dyDescent="0.3">
      <c r="B1" s="28" t="s">
        <v>89</v>
      </c>
      <c r="C1" s="20">
        <v>99</v>
      </c>
      <c r="D1" s="28" t="s">
        <v>91</v>
      </c>
      <c r="E1" s="20">
        <v>0</v>
      </c>
    </row>
    <row r="2" spans="2:6" x14ac:dyDescent="0.3">
      <c r="B2" s="28" t="s">
        <v>90</v>
      </c>
      <c r="C2" s="20">
        <v>100</v>
      </c>
      <c r="D2" s="28" t="s">
        <v>92</v>
      </c>
      <c r="E2" s="20">
        <v>2</v>
      </c>
    </row>
    <row r="4" spans="2:6" x14ac:dyDescent="0.3">
      <c r="B4" s="44" t="s">
        <v>76</v>
      </c>
      <c r="C4" s="44"/>
      <c r="D4" s="44"/>
      <c r="F4" s="34" t="s">
        <v>88</v>
      </c>
    </row>
    <row r="6" spans="2:6" x14ac:dyDescent="0.3">
      <c r="B6" s="8" t="s">
        <v>63</v>
      </c>
      <c r="C6" s="10">
        <v>45</v>
      </c>
      <c r="D6" s="50" t="s">
        <v>77</v>
      </c>
      <c r="E6" s="51"/>
    </row>
    <row r="7" spans="2:6" x14ac:dyDescent="0.3">
      <c r="B7" s="8" t="s">
        <v>64</v>
      </c>
      <c r="C7" s="10">
        <v>1.2</v>
      </c>
      <c r="D7" s="10" t="s">
        <v>54</v>
      </c>
    </row>
    <row r="8" spans="2:6" x14ac:dyDescent="0.3">
      <c r="B8" s="8" t="s">
        <v>65</v>
      </c>
      <c r="C8" s="10">
        <f>7.28*10^(-5)</f>
        <v>7.2800000000000008E-5</v>
      </c>
      <c r="D8" s="10" t="s">
        <v>66</v>
      </c>
    </row>
    <row r="9" spans="2:6" x14ac:dyDescent="0.3">
      <c r="B9" s="8" t="s">
        <v>67</v>
      </c>
      <c r="C9" s="10">
        <f>(10^5-9.9*10^4)/(200*10^3)</f>
        <v>5.0000000000000001E-3</v>
      </c>
    </row>
    <row r="11" spans="2:6" x14ac:dyDescent="0.3">
      <c r="B11" s="8" t="s">
        <v>68</v>
      </c>
      <c r="C11" s="10">
        <f>1/C7*(C9)/(2*C8*SIN(C6))</f>
        <v>33.63156373442505</v>
      </c>
      <c r="D11" s="10" t="s">
        <v>69</v>
      </c>
      <c r="E11" s="10">
        <v>40</v>
      </c>
    </row>
    <row r="12" spans="2:6" x14ac:dyDescent="0.3">
      <c r="C12" s="10">
        <f>C11*3.6</f>
        <v>121.07362944393019</v>
      </c>
      <c r="D12" s="10" t="s">
        <v>70</v>
      </c>
    </row>
    <row r="15" spans="2:6" x14ac:dyDescent="0.3">
      <c r="B15" s="44" t="s">
        <v>78</v>
      </c>
      <c r="C15" s="44"/>
    </row>
    <row r="17" spans="2:4" x14ac:dyDescent="0.3">
      <c r="B17" s="8" t="s">
        <v>71</v>
      </c>
      <c r="C17" s="10">
        <f>E11*2*C8*SIN(C6)/9.81</f>
        <v>5.0516433505471011E-4</v>
      </c>
    </row>
    <row r="18" spans="2:4" x14ac:dyDescent="0.3">
      <c r="B18" s="8" t="s">
        <v>3</v>
      </c>
      <c r="C18" s="10">
        <f>ATAN(C17)</f>
        <v>5.0516429208358519E-4</v>
      </c>
    </row>
    <row r="19" spans="2:4" x14ac:dyDescent="0.3">
      <c r="C19" s="10">
        <f>9/3.14</f>
        <v>2.8662420382165603</v>
      </c>
      <c r="D19" s="10" t="s">
        <v>72</v>
      </c>
    </row>
  </sheetData>
  <mergeCells count="3">
    <mergeCell ref="B4:D4"/>
    <mergeCell ref="D6:E6"/>
    <mergeCell ref="B15:C15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03"/>
  <sheetViews>
    <sheetView zoomScale="85" zoomScaleNormal="85" workbookViewId="0">
      <selection activeCell="B17" sqref="B17"/>
    </sheetView>
  </sheetViews>
  <sheetFormatPr defaultColWidth="9.109375" defaultRowHeight="14.4" x14ac:dyDescent="0.3"/>
  <cols>
    <col min="1" max="1" width="20.5546875" style="1" customWidth="1"/>
    <col min="2" max="2" width="10" style="1" bestFit="1" customWidth="1"/>
    <col min="3" max="5" width="9.109375" style="1"/>
    <col min="6" max="6" width="16.44140625" style="1" bestFit="1" customWidth="1"/>
    <col min="7" max="7" width="20.6640625" style="1" customWidth="1"/>
    <col min="8" max="8" width="17.5546875" style="1" bestFit="1" customWidth="1"/>
    <col min="9" max="16384" width="9.109375" style="1"/>
  </cols>
  <sheetData>
    <row r="1" spans="1:10" ht="15" thickBot="1" x14ac:dyDescent="0.35"/>
    <row r="2" spans="1:10" ht="16.8" thickBot="1" x14ac:dyDescent="0.35">
      <c r="A2" s="8" t="s">
        <v>44</v>
      </c>
      <c r="B2" s="9">
        <v>3</v>
      </c>
      <c r="E2" s="32" t="s">
        <v>45</v>
      </c>
      <c r="F2" s="32" t="s">
        <v>44</v>
      </c>
      <c r="G2" s="33" t="s">
        <v>99</v>
      </c>
      <c r="H2" s="43" t="s">
        <v>100</v>
      </c>
      <c r="I2" s="52" t="s">
        <v>101</v>
      </c>
      <c r="J2" s="53"/>
    </row>
    <row r="3" spans="1:10" x14ac:dyDescent="0.3">
      <c r="A3" s="8" t="s">
        <v>46</v>
      </c>
      <c r="B3" s="9">
        <v>0.4</v>
      </c>
      <c r="E3" s="9">
        <v>0.2</v>
      </c>
      <c r="F3" s="9">
        <f>($B$7/$B$3)*LOG(E3/$B$5)</f>
        <v>1.6962360309717193</v>
      </c>
      <c r="G3" s="14">
        <f>$B$10*$B$7/($B$3*E3)</f>
        <v>1.1733875721254526E-4</v>
      </c>
      <c r="H3" s="9">
        <f>$B$12*$B$7/(E3*$B$3)</f>
        <v>11.733875721254526</v>
      </c>
    </row>
    <row r="4" spans="1:10" x14ac:dyDescent="0.3">
      <c r="A4" s="8" t="s">
        <v>45</v>
      </c>
      <c r="B4" s="9">
        <v>2</v>
      </c>
      <c r="E4" s="9">
        <v>1</v>
      </c>
      <c r="F4" s="10">
        <f t="shared" ref="F4:F67" si="0">($B$7/$B$3)*LOG(E4/$B$5)</f>
        <v>2.6075279380565619</v>
      </c>
      <c r="G4" s="9">
        <f t="shared" ref="G4:G67" si="1">$B$10*$B$7/($B$3*E4)</f>
        <v>2.3467751442509055E-5</v>
      </c>
      <c r="H4" s="20">
        <f t="shared" ref="H4:H67" si="2">$B$12*$B$7/(E4*$B$3)</f>
        <v>2.3467751442509055</v>
      </c>
    </row>
    <row r="5" spans="1:10" ht="15.6" x14ac:dyDescent="0.3">
      <c r="A5" s="8" t="s">
        <v>93</v>
      </c>
      <c r="B5" s="9">
        <v>0.01</v>
      </c>
      <c r="E5" s="9">
        <v>2</v>
      </c>
      <c r="F5" s="10">
        <f t="shared" si="0"/>
        <v>3.0000000000000004</v>
      </c>
      <c r="G5" s="9">
        <f t="shared" si="1"/>
        <v>1.1733875721254527E-5</v>
      </c>
      <c r="H5" s="20">
        <f t="shared" si="2"/>
        <v>1.1733875721254527</v>
      </c>
    </row>
    <row r="6" spans="1:10" x14ac:dyDescent="0.3">
      <c r="E6" s="9">
        <v>3</v>
      </c>
      <c r="F6" s="10">
        <f t="shared" si="0"/>
        <v>3.2295814388176227</v>
      </c>
      <c r="G6" s="9">
        <f t="shared" si="1"/>
        <v>7.8225838141696838E-6</v>
      </c>
      <c r="H6" s="20">
        <f t="shared" si="2"/>
        <v>0.78225838141696835</v>
      </c>
    </row>
    <row r="7" spans="1:10" x14ac:dyDescent="0.3">
      <c r="A7" s="30" t="s">
        <v>47</v>
      </c>
      <c r="B7" s="29">
        <f>(B2*B3)/(LOG(B4/B5))</f>
        <v>0.52150558761131238</v>
      </c>
      <c r="E7" s="9">
        <v>4</v>
      </c>
      <c r="F7" s="10">
        <f t="shared" si="0"/>
        <v>3.3924720619434385</v>
      </c>
      <c r="G7" s="9">
        <f t="shared" si="1"/>
        <v>5.8669378606272637E-6</v>
      </c>
      <c r="H7" s="20">
        <f t="shared" si="2"/>
        <v>0.58669378606272637</v>
      </c>
    </row>
    <row r="8" spans="1:10" ht="16.2" x14ac:dyDescent="0.3">
      <c r="A8" s="23" t="s">
        <v>94</v>
      </c>
      <c r="B8" s="9">
        <v>1.2</v>
      </c>
      <c r="E8" s="9">
        <v>5</v>
      </c>
      <c r="F8" s="10">
        <f t="shared" si="0"/>
        <v>3.5188198451414046</v>
      </c>
      <c r="G8" s="9">
        <f t="shared" si="1"/>
        <v>4.6935502885018115E-6</v>
      </c>
      <c r="H8" s="20">
        <f t="shared" si="2"/>
        <v>0.4693550288501811</v>
      </c>
    </row>
    <row r="9" spans="1:10" ht="16.2" x14ac:dyDescent="0.3">
      <c r="A9" s="23" t="s">
        <v>95</v>
      </c>
      <c r="B9" s="15">
        <f>1.5*10^-5</f>
        <v>1.5000000000000002E-5</v>
      </c>
      <c r="E9" s="9">
        <v>6</v>
      </c>
      <c r="F9" s="10">
        <f t="shared" si="0"/>
        <v>3.6220535007610604</v>
      </c>
      <c r="G9" s="9">
        <f t="shared" si="1"/>
        <v>3.9112919070848419E-6</v>
      </c>
      <c r="H9" s="20">
        <f t="shared" si="2"/>
        <v>0.39112919070848418</v>
      </c>
    </row>
    <row r="10" spans="1:10" ht="16.2" x14ac:dyDescent="0.3">
      <c r="A10" s="31" t="s">
        <v>96</v>
      </c>
      <c r="B10" s="29">
        <f>B8*B9</f>
        <v>1.8E-5</v>
      </c>
      <c r="E10" s="9">
        <v>7</v>
      </c>
      <c r="F10" s="10">
        <f t="shared" si="0"/>
        <v>3.7093363129235706</v>
      </c>
      <c r="G10" s="9">
        <f t="shared" si="1"/>
        <v>3.3525359203584363E-6</v>
      </c>
      <c r="H10" s="20">
        <f>$B$12*$B$7/(E10*$B$3)</f>
        <v>0.3352535920358436</v>
      </c>
    </row>
    <row r="11" spans="1:10" ht="16.2" x14ac:dyDescent="0.3">
      <c r="A11" s="8" t="s">
        <v>97</v>
      </c>
      <c r="B11" s="9">
        <v>1.5</v>
      </c>
      <c r="E11" s="9">
        <v>8</v>
      </c>
      <c r="F11" s="10">
        <f t="shared" si="0"/>
        <v>3.7849441238868771</v>
      </c>
      <c r="G11" s="9">
        <f t="shared" si="1"/>
        <v>2.9334689303136318E-6</v>
      </c>
      <c r="H11" s="20">
        <f t="shared" si="2"/>
        <v>0.29334689303136319</v>
      </c>
    </row>
    <row r="12" spans="1:10" ht="16.2" x14ac:dyDescent="0.3">
      <c r="A12" s="31" t="s">
        <v>98</v>
      </c>
      <c r="B12" s="29">
        <f>B11*B8</f>
        <v>1.7999999999999998</v>
      </c>
      <c r="E12" s="9">
        <v>9</v>
      </c>
      <c r="F12" s="10">
        <f t="shared" si="0"/>
        <v>3.8516349395786826</v>
      </c>
      <c r="G12" s="9">
        <f t="shared" si="1"/>
        <v>2.6075279380565618E-6</v>
      </c>
      <c r="H12" s="20">
        <f t="shared" si="2"/>
        <v>0.26075279380565614</v>
      </c>
    </row>
    <row r="13" spans="1:10" x14ac:dyDescent="0.3">
      <c r="E13" s="9">
        <v>10</v>
      </c>
      <c r="F13" s="10">
        <f t="shared" si="0"/>
        <v>3.9112919070848431</v>
      </c>
      <c r="G13" s="9">
        <f t="shared" si="1"/>
        <v>2.3467751442509057E-6</v>
      </c>
      <c r="H13" s="20">
        <f t="shared" si="2"/>
        <v>0.23467751442509055</v>
      </c>
    </row>
    <row r="14" spans="1:10" x14ac:dyDescent="0.3">
      <c r="E14" s="9">
        <v>11</v>
      </c>
      <c r="F14" s="10">
        <f t="shared" si="0"/>
        <v>3.965258198575468</v>
      </c>
      <c r="G14" s="9">
        <f t="shared" si="1"/>
        <v>2.1334319493190052E-6</v>
      </c>
      <c r="H14" s="20">
        <f t="shared" si="2"/>
        <v>0.21334319493190049</v>
      </c>
    </row>
    <row r="15" spans="1:10" x14ac:dyDescent="0.3">
      <c r="E15" s="9">
        <v>12</v>
      </c>
      <c r="F15" s="10">
        <f t="shared" si="0"/>
        <v>4.0145255627044989</v>
      </c>
      <c r="G15" s="9">
        <f t="shared" si="1"/>
        <v>1.9556459535424209E-6</v>
      </c>
      <c r="H15" s="20">
        <f t="shared" si="2"/>
        <v>0.19556459535424209</v>
      </c>
    </row>
    <row r="16" spans="1:10" x14ac:dyDescent="0.3">
      <c r="E16" s="9">
        <v>13</v>
      </c>
      <c r="F16" s="10">
        <f t="shared" si="0"/>
        <v>4.0598471443327924</v>
      </c>
      <c r="G16" s="9">
        <f t="shared" si="1"/>
        <v>1.8052116494237737E-6</v>
      </c>
      <c r="H16" s="20">
        <f t="shared" si="2"/>
        <v>0.18052116494237733</v>
      </c>
    </row>
    <row r="17" spans="5:8" x14ac:dyDescent="0.3">
      <c r="E17" s="9">
        <v>14</v>
      </c>
      <c r="F17" s="10">
        <f t="shared" si="0"/>
        <v>4.1018083748670087</v>
      </c>
      <c r="G17" s="9">
        <f t="shared" si="1"/>
        <v>1.6762679601792182E-6</v>
      </c>
      <c r="H17" s="20">
        <f t="shared" si="2"/>
        <v>0.1676267960179218</v>
      </c>
    </row>
    <row r="18" spans="5:8" x14ac:dyDescent="0.3">
      <c r="E18" s="9">
        <v>15</v>
      </c>
      <c r="F18" s="10">
        <f t="shared" si="0"/>
        <v>4.1408733459024649</v>
      </c>
      <c r="G18" s="9">
        <f t="shared" si="1"/>
        <v>1.5645167628339372E-6</v>
      </c>
      <c r="H18" s="20">
        <f t="shared" si="2"/>
        <v>0.15645167628339371</v>
      </c>
    </row>
    <row r="19" spans="5:8" x14ac:dyDescent="0.3">
      <c r="E19" s="9">
        <v>16</v>
      </c>
      <c r="F19" s="10">
        <f t="shared" si="0"/>
        <v>4.1774161858303147</v>
      </c>
      <c r="G19" s="9">
        <f t="shared" si="1"/>
        <v>1.4667344651568159E-6</v>
      </c>
      <c r="H19" s="20">
        <f t="shared" si="2"/>
        <v>0.14667344651568159</v>
      </c>
    </row>
    <row r="20" spans="5:8" x14ac:dyDescent="0.3">
      <c r="E20" s="9">
        <v>17</v>
      </c>
      <c r="F20" s="10">
        <f t="shared" si="0"/>
        <v>4.2117429074792678</v>
      </c>
      <c r="G20" s="9">
        <f t="shared" si="1"/>
        <v>1.3804559672064149E-6</v>
      </c>
      <c r="H20" s="20">
        <f t="shared" si="2"/>
        <v>0.13804559672064148</v>
      </c>
    </row>
    <row r="21" spans="5:8" x14ac:dyDescent="0.3">
      <c r="E21" s="9">
        <v>18</v>
      </c>
      <c r="F21" s="10">
        <f t="shared" si="0"/>
        <v>4.2441070015221216</v>
      </c>
      <c r="G21" s="9">
        <f t="shared" si="1"/>
        <v>1.3037639690282809E-6</v>
      </c>
      <c r="H21" s="20">
        <f t="shared" si="2"/>
        <v>0.13037639690282807</v>
      </c>
    </row>
    <row r="22" spans="5:8" x14ac:dyDescent="0.3">
      <c r="E22" s="9">
        <v>19</v>
      </c>
      <c r="F22" s="10">
        <f t="shared" si="0"/>
        <v>4.2747208082440284</v>
      </c>
      <c r="G22" s="9">
        <f t="shared" si="1"/>
        <v>1.2351448127636345E-6</v>
      </c>
      <c r="H22" s="20">
        <f t="shared" si="2"/>
        <v>0.12351448127636344</v>
      </c>
    </row>
    <row r="23" spans="5:8" x14ac:dyDescent="0.3">
      <c r="E23" s="9">
        <v>20</v>
      </c>
      <c r="F23" s="10">
        <f t="shared" si="0"/>
        <v>4.3037639690282816</v>
      </c>
      <c r="G23" s="9">
        <f t="shared" si="1"/>
        <v>1.1733875721254529E-6</v>
      </c>
      <c r="H23" s="20">
        <f t="shared" si="2"/>
        <v>0.11733875721254527</v>
      </c>
    </row>
    <row r="24" spans="5:8" x14ac:dyDescent="0.3">
      <c r="E24" s="9">
        <v>21</v>
      </c>
      <c r="F24" s="10">
        <f t="shared" si="0"/>
        <v>4.3313898136846305</v>
      </c>
      <c r="G24" s="9">
        <f t="shared" si="1"/>
        <v>1.1175119734528122E-6</v>
      </c>
      <c r="H24" s="20">
        <f t="shared" si="2"/>
        <v>0.1117511973452812</v>
      </c>
    </row>
    <row r="25" spans="5:8" x14ac:dyDescent="0.3">
      <c r="E25" s="9">
        <v>22</v>
      </c>
      <c r="F25" s="10">
        <f t="shared" si="0"/>
        <v>4.357730260518907</v>
      </c>
      <c r="G25" s="9">
        <f t="shared" si="1"/>
        <v>1.0667159746595026E-6</v>
      </c>
      <c r="H25" s="20">
        <f t="shared" si="2"/>
        <v>0.10667159746595024</v>
      </c>
    </row>
    <row r="26" spans="5:8" x14ac:dyDescent="0.3">
      <c r="E26" s="9">
        <v>23</v>
      </c>
      <c r="F26" s="10">
        <f t="shared" si="0"/>
        <v>4.3828996262791513</v>
      </c>
      <c r="G26" s="9">
        <f t="shared" si="1"/>
        <v>1.0203370192395241E-6</v>
      </c>
      <c r="H26" s="20">
        <f t="shared" si="2"/>
        <v>0.10203370192395241</v>
      </c>
    </row>
    <row r="27" spans="5:8" x14ac:dyDescent="0.3">
      <c r="E27" s="9">
        <v>24</v>
      </c>
      <c r="F27" s="10">
        <f t="shared" si="0"/>
        <v>4.4069976246479374</v>
      </c>
      <c r="G27" s="9">
        <f t="shared" si="1"/>
        <v>9.7782297677121047E-7</v>
      </c>
      <c r="H27" s="20">
        <f t="shared" si="2"/>
        <v>9.7782297677121044E-2</v>
      </c>
    </row>
    <row r="28" spans="5:8" x14ac:dyDescent="0.3">
      <c r="E28" s="9">
        <v>25</v>
      </c>
      <c r="F28" s="10">
        <f t="shared" si="0"/>
        <v>4.4301117522262468</v>
      </c>
      <c r="G28" s="9">
        <f t="shared" si="1"/>
        <v>9.3871005770036227E-7</v>
      </c>
      <c r="H28" s="20">
        <f t="shared" si="2"/>
        <v>9.3871005770036223E-2</v>
      </c>
    </row>
    <row r="29" spans="5:8" x14ac:dyDescent="0.3">
      <c r="E29" s="9">
        <v>26</v>
      </c>
      <c r="F29" s="10">
        <f t="shared" si="0"/>
        <v>4.45231920627623</v>
      </c>
      <c r="G29" s="9">
        <f t="shared" si="1"/>
        <v>9.0260582471188683E-7</v>
      </c>
      <c r="H29" s="20">
        <f t="shared" si="2"/>
        <v>9.0260582471188663E-2</v>
      </c>
    </row>
    <row r="30" spans="5:8" x14ac:dyDescent="0.3">
      <c r="E30" s="9">
        <v>27</v>
      </c>
      <c r="F30" s="10">
        <f t="shared" si="0"/>
        <v>4.4736884403397434</v>
      </c>
      <c r="G30" s="9">
        <f t="shared" si="1"/>
        <v>8.6917597935218728E-7</v>
      </c>
      <c r="H30" s="20">
        <f t="shared" si="2"/>
        <v>8.6917597935218721E-2</v>
      </c>
    </row>
    <row r="31" spans="5:8" x14ac:dyDescent="0.3">
      <c r="E31" s="9">
        <v>28</v>
      </c>
      <c r="F31" s="10">
        <f t="shared" si="0"/>
        <v>4.4942804368104472</v>
      </c>
      <c r="G31" s="9">
        <f t="shared" si="1"/>
        <v>8.3813398008960908E-7</v>
      </c>
      <c r="H31" s="20">
        <f t="shared" si="2"/>
        <v>8.3813398008960899E-2</v>
      </c>
    </row>
    <row r="32" spans="5:8" x14ac:dyDescent="0.3">
      <c r="E32" s="9">
        <v>29</v>
      </c>
      <c r="F32" s="10">
        <f t="shared" si="0"/>
        <v>4.5141497560963169</v>
      </c>
      <c r="G32" s="9">
        <f t="shared" si="1"/>
        <v>8.0923280836238115E-7</v>
      </c>
      <c r="H32" s="20">
        <f t="shared" si="2"/>
        <v>8.0923280836238107E-2</v>
      </c>
    </row>
    <row r="33" spans="5:8" x14ac:dyDescent="0.3">
      <c r="E33" s="9">
        <v>30</v>
      </c>
      <c r="F33" s="10">
        <f t="shared" si="0"/>
        <v>4.5333454078459035</v>
      </c>
      <c r="G33" s="9">
        <f t="shared" si="1"/>
        <v>7.8225838141696861E-7</v>
      </c>
      <c r="H33" s="20">
        <f t="shared" si="2"/>
        <v>7.8225838141696855E-2</v>
      </c>
    </row>
    <row r="34" spans="5:8" x14ac:dyDescent="0.3">
      <c r="E34" s="9">
        <v>31</v>
      </c>
      <c r="F34" s="10">
        <f t="shared" si="0"/>
        <v>4.5519115792666733</v>
      </c>
      <c r="G34" s="9">
        <f t="shared" si="1"/>
        <v>7.5702424008093735E-7</v>
      </c>
      <c r="H34" s="20">
        <f t="shared" si="2"/>
        <v>7.5702424008093724E-2</v>
      </c>
    </row>
    <row r="35" spans="5:8" x14ac:dyDescent="0.3">
      <c r="E35" s="9">
        <v>32</v>
      </c>
      <c r="F35" s="10">
        <f t="shared" si="0"/>
        <v>4.5698882477737532</v>
      </c>
      <c r="G35" s="9">
        <f t="shared" si="1"/>
        <v>7.3336723257840796E-7</v>
      </c>
      <c r="H35" s="20">
        <f t="shared" si="2"/>
        <v>7.3336723257840797E-2</v>
      </c>
    </row>
    <row r="36" spans="5:8" x14ac:dyDescent="0.3">
      <c r="E36" s="9">
        <v>33</v>
      </c>
      <c r="F36" s="10">
        <f t="shared" si="0"/>
        <v>4.5873116993365288</v>
      </c>
      <c r="G36" s="9">
        <f t="shared" si="1"/>
        <v>7.1114398310633498E-7</v>
      </c>
      <c r="H36" s="20">
        <f t="shared" si="2"/>
        <v>7.11143983106335E-2</v>
      </c>
    </row>
    <row r="37" spans="5:8" x14ac:dyDescent="0.3">
      <c r="E37" s="9">
        <v>34</v>
      </c>
      <c r="F37" s="10">
        <f t="shared" si="0"/>
        <v>4.6042149694227055</v>
      </c>
      <c r="G37" s="9">
        <f t="shared" si="1"/>
        <v>6.9022798360320747E-7</v>
      </c>
      <c r="H37" s="20">
        <f t="shared" si="2"/>
        <v>6.9022798360320742E-2</v>
      </c>
    </row>
    <row r="38" spans="5:8" x14ac:dyDescent="0.3">
      <c r="E38" s="9">
        <v>35</v>
      </c>
      <c r="F38" s="10">
        <f t="shared" si="0"/>
        <v>4.6206282200084132</v>
      </c>
      <c r="G38" s="9">
        <f t="shared" si="1"/>
        <v>6.7050718407168735E-7</v>
      </c>
      <c r="H38" s="20">
        <f t="shared" si="2"/>
        <v>6.7050718407168725E-2</v>
      </c>
    </row>
    <row r="39" spans="5:8" x14ac:dyDescent="0.3">
      <c r="E39" s="9">
        <v>36</v>
      </c>
      <c r="F39" s="10">
        <f t="shared" si="0"/>
        <v>4.6365790634655593</v>
      </c>
      <c r="G39" s="9">
        <f t="shared" si="1"/>
        <v>6.5188198451414046E-7</v>
      </c>
      <c r="H39" s="20">
        <f t="shared" si="2"/>
        <v>6.5188198451414034E-2</v>
      </c>
    </row>
    <row r="40" spans="5:8" x14ac:dyDescent="0.3">
      <c r="E40" s="9">
        <v>37</v>
      </c>
      <c r="F40" s="10">
        <f t="shared" si="0"/>
        <v>4.6520928420631407</v>
      </c>
      <c r="G40" s="9">
        <f t="shared" si="1"/>
        <v>6.3426355250024478E-7</v>
      </c>
      <c r="H40" s="20">
        <f t="shared" si="2"/>
        <v>6.3426355250024463E-2</v>
      </c>
    </row>
    <row r="41" spans="5:8" x14ac:dyDescent="0.3">
      <c r="E41" s="9">
        <v>38</v>
      </c>
      <c r="F41" s="10">
        <f t="shared" si="0"/>
        <v>4.667192870187467</v>
      </c>
      <c r="G41" s="9">
        <f t="shared" si="1"/>
        <v>6.1757240638181724E-7</v>
      </c>
      <c r="H41" s="20">
        <f t="shared" si="2"/>
        <v>6.1757240638181721E-2</v>
      </c>
    </row>
    <row r="42" spans="5:8" x14ac:dyDescent="0.3">
      <c r="E42" s="9">
        <v>39</v>
      </c>
      <c r="F42" s="10">
        <f t="shared" si="0"/>
        <v>4.6819006450938527</v>
      </c>
      <c r="G42" s="9">
        <f t="shared" si="1"/>
        <v>6.0173721647459118E-7</v>
      </c>
      <c r="H42" s="20">
        <f t="shared" si="2"/>
        <v>6.0173721647459107E-2</v>
      </c>
    </row>
    <row r="43" spans="5:8" x14ac:dyDescent="0.3">
      <c r="E43" s="9">
        <v>40</v>
      </c>
      <c r="F43" s="10">
        <f t="shared" si="0"/>
        <v>4.6962360309717193</v>
      </c>
      <c r="G43" s="9">
        <f t="shared" si="1"/>
        <v>5.8669378606272643E-7</v>
      </c>
      <c r="H43" s="20">
        <f t="shared" si="2"/>
        <v>5.8669378606272637E-2</v>
      </c>
    </row>
    <row r="44" spans="5:8" x14ac:dyDescent="0.3">
      <c r="E44" s="9">
        <v>41</v>
      </c>
      <c r="F44" s="10">
        <f t="shared" si="0"/>
        <v>4.710217420278223</v>
      </c>
      <c r="G44" s="9">
        <f t="shared" si="1"/>
        <v>5.7238418152461104E-7</v>
      </c>
      <c r="H44" s="20">
        <f t="shared" si="2"/>
        <v>5.7238418152461105E-2</v>
      </c>
    </row>
    <row r="45" spans="5:8" x14ac:dyDescent="0.3">
      <c r="E45" s="9">
        <v>42</v>
      </c>
      <c r="F45" s="10">
        <f t="shared" si="0"/>
        <v>4.723861875628069</v>
      </c>
      <c r="G45" s="9">
        <f t="shared" si="1"/>
        <v>5.5875598672640609E-7</v>
      </c>
      <c r="H45" s="20">
        <f t="shared" si="2"/>
        <v>5.5875598672640601E-2</v>
      </c>
    </row>
    <row r="46" spans="5:8" x14ac:dyDescent="0.3">
      <c r="E46" s="9">
        <v>43</v>
      </c>
      <c r="F46" s="10">
        <f t="shared" si="0"/>
        <v>4.7371852549855005</v>
      </c>
      <c r="G46" s="9">
        <f t="shared" si="1"/>
        <v>5.4576166145369899E-7</v>
      </c>
      <c r="H46" s="20">
        <f t="shared" si="2"/>
        <v>5.4576166145369899E-2</v>
      </c>
    </row>
    <row r="47" spans="5:8" x14ac:dyDescent="0.3">
      <c r="E47" s="9">
        <v>44</v>
      </c>
      <c r="F47" s="10">
        <f t="shared" si="0"/>
        <v>4.7502023224623446</v>
      </c>
      <c r="G47" s="9">
        <f t="shared" si="1"/>
        <v>5.3335798732975131E-7</v>
      </c>
      <c r="H47" s="20">
        <f t="shared" si="2"/>
        <v>5.3335798732975122E-2</v>
      </c>
    </row>
    <row r="48" spans="5:8" x14ac:dyDescent="0.3">
      <c r="E48" s="9">
        <v>45</v>
      </c>
      <c r="F48" s="10">
        <f t="shared" si="0"/>
        <v>4.7629268466635253</v>
      </c>
      <c r="G48" s="9">
        <f t="shared" si="1"/>
        <v>5.2150558761131241E-7</v>
      </c>
      <c r="H48" s="20">
        <f t="shared" si="2"/>
        <v>5.2150558761131234E-2</v>
      </c>
    </row>
    <row r="49" spans="5:8" x14ac:dyDescent="0.3">
      <c r="E49" s="9">
        <v>46</v>
      </c>
      <c r="F49" s="10">
        <f t="shared" si="0"/>
        <v>4.775371688222589</v>
      </c>
      <c r="G49" s="9">
        <f t="shared" si="1"/>
        <v>5.1016850961976206E-7</v>
      </c>
      <c r="H49" s="20">
        <f t="shared" si="2"/>
        <v>5.1016850961976203E-2</v>
      </c>
    </row>
    <row r="50" spans="5:8" x14ac:dyDescent="0.3">
      <c r="E50" s="9">
        <v>47</v>
      </c>
      <c r="F50" s="10">
        <f t="shared" si="0"/>
        <v>4.7875488779225197</v>
      </c>
      <c r="G50" s="9">
        <f t="shared" si="1"/>
        <v>4.9931386047891604E-7</v>
      </c>
      <c r="H50" s="20">
        <f t="shared" si="2"/>
        <v>4.9931386047891602E-2</v>
      </c>
    </row>
    <row r="51" spans="5:8" x14ac:dyDescent="0.3">
      <c r="E51" s="9">
        <v>48</v>
      </c>
      <c r="F51" s="10">
        <f t="shared" si="0"/>
        <v>4.799469686591376</v>
      </c>
      <c r="G51" s="9">
        <f t="shared" si="1"/>
        <v>4.8891148838560524E-7</v>
      </c>
      <c r="H51" s="20">
        <f t="shared" si="2"/>
        <v>4.8891148838560522E-2</v>
      </c>
    </row>
    <row r="52" spans="5:8" x14ac:dyDescent="0.3">
      <c r="E52" s="9">
        <v>49</v>
      </c>
      <c r="F52" s="10">
        <f t="shared" si="0"/>
        <v>4.8111446877905788</v>
      </c>
      <c r="G52" s="9">
        <f t="shared" si="1"/>
        <v>4.7893370290834812E-7</v>
      </c>
      <c r="H52" s="20">
        <f t="shared" si="2"/>
        <v>4.7893370290834805E-2</v>
      </c>
    </row>
    <row r="53" spans="5:8" x14ac:dyDescent="0.3">
      <c r="E53" s="9">
        <v>50</v>
      </c>
      <c r="F53" s="10">
        <f t="shared" si="0"/>
        <v>4.8225838141696853</v>
      </c>
      <c r="G53" s="9">
        <f t="shared" si="1"/>
        <v>4.6935502885018114E-7</v>
      </c>
      <c r="H53" s="20">
        <f t="shared" si="2"/>
        <v>4.6935502885018111E-2</v>
      </c>
    </row>
    <row r="54" spans="5:8" x14ac:dyDescent="0.3">
      <c r="E54" s="9">
        <v>51</v>
      </c>
      <c r="F54" s="10">
        <f t="shared" si="0"/>
        <v>4.8337964082403282</v>
      </c>
      <c r="G54" s="9">
        <f t="shared" si="1"/>
        <v>4.6015198906880498E-7</v>
      </c>
      <c r="H54" s="20">
        <f t="shared" si="2"/>
        <v>4.6015198906880495E-2</v>
      </c>
    </row>
    <row r="55" spans="5:8" x14ac:dyDescent="0.3">
      <c r="E55" s="9">
        <v>52</v>
      </c>
      <c r="F55" s="10">
        <f t="shared" si="0"/>
        <v>4.8447912682196685</v>
      </c>
      <c r="G55" s="9">
        <f t="shared" si="1"/>
        <v>4.5130291235594341E-7</v>
      </c>
      <c r="H55" s="20">
        <f t="shared" si="2"/>
        <v>4.5130291235594332E-2</v>
      </c>
    </row>
    <row r="56" spans="5:8" x14ac:dyDescent="0.3">
      <c r="E56" s="9">
        <v>53</v>
      </c>
      <c r="F56" s="10">
        <f t="shared" si="0"/>
        <v>4.855576689506977</v>
      </c>
      <c r="G56" s="9">
        <f t="shared" si="1"/>
        <v>4.4278776306620859E-7</v>
      </c>
      <c r="H56" s="20">
        <f t="shared" si="2"/>
        <v>4.4278776306620853E-2</v>
      </c>
    </row>
    <row r="57" spans="5:8" x14ac:dyDescent="0.3">
      <c r="E57" s="9">
        <v>54</v>
      </c>
      <c r="F57" s="10">
        <f t="shared" si="0"/>
        <v>4.866160502283182</v>
      </c>
      <c r="G57" s="9">
        <f t="shared" si="1"/>
        <v>4.3458798967609364E-7</v>
      </c>
      <c r="H57" s="20">
        <f t="shared" si="2"/>
        <v>4.3458798967609361E-2</v>
      </c>
    </row>
    <row r="58" spans="5:8" x14ac:dyDescent="0.3">
      <c r="E58" s="9">
        <v>55</v>
      </c>
      <c r="F58" s="10">
        <f t="shared" si="0"/>
        <v>4.8765501056603107</v>
      </c>
      <c r="G58" s="9">
        <f t="shared" si="1"/>
        <v>4.2668638986380102E-7</v>
      </c>
      <c r="H58" s="20">
        <f t="shared" si="2"/>
        <v>4.2668638986380097E-2</v>
      </c>
    </row>
    <row r="59" spans="5:8" x14ac:dyDescent="0.3">
      <c r="E59" s="9">
        <v>56</v>
      </c>
      <c r="F59" s="10">
        <f t="shared" si="0"/>
        <v>4.8867524987538848</v>
      </c>
      <c r="G59" s="9">
        <f t="shared" si="1"/>
        <v>4.1906699004480454E-7</v>
      </c>
      <c r="H59" s="20">
        <f t="shared" si="2"/>
        <v>4.1906699004480449E-2</v>
      </c>
    </row>
    <row r="60" spans="5:8" x14ac:dyDescent="0.3">
      <c r="E60" s="9">
        <v>57</v>
      </c>
      <c r="F60" s="10">
        <f t="shared" si="0"/>
        <v>4.8967743090050897</v>
      </c>
      <c r="G60" s="9">
        <f t="shared" si="1"/>
        <v>4.1171493758787818E-7</v>
      </c>
      <c r="H60" s="20">
        <f t="shared" si="2"/>
        <v>4.1171493758787814E-2</v>
      </c>
    </row>
    <row r="61" spans="5:8" x14ac:dyDescent="0.3">
      <c r="E61" s="9">
        <v>58</v>
      </c>
      <c r="F61" s="10">
        <f t="shared" si="0"/>
        <v>4.9066218180397554</v>
      </c>
      <c r="G61" s="9">
        <f t="shared" si="1"/>
        <v>4.0461640418119058E-7</v>
      </c>
      <c r="H61" s="20">
        <f t="shared" si="2"/>
        <v>4.0461640418119053E-2</v>
      </c>
    </row>
    <row r="62" spans="5:8" x14ac:dyDescent="0.3">
      <c r="E62" s="9">
        <v>59</v>
      </c>
      <c r="F62" s="10">
        <f t="shared" si="0"/>
        <v>4.9163009853168393</v>
      </c>
      <c r="G62" s="9">
        <f t="shared" si="1"/>
        <v>3.9775849902557721E-7</v>
      </c>
      <c r="H62" s="20">
        <f t="shared" si="2"/>
        <v>3.9775849902557718E-2</v>
      </c>
    </row>
    <row r="63" spans="5:8" x14ac:dyDescent="0.3">
      <c r="E63" s="9">
        <v>60</v>
      </c>
      <c r="F63" s="10">
        <f t="shared" si="0"/>
        <v>4.9258174697893411</v>
      </c>
      <c r="G63" s="9">
        <f t="shared" si="1"/>
        <v>3.9112919070848431E-7</v>
      </c>
      <c r="H63" s="20">
        <f t="shared" si="2"/>
        <v>3.9112919070848427E-2</v>
      </c>
    </row>
    <row r="64" spans="5:8" x14ac:dyDescent="0.3">
      <c r="E64" s="9">
        <v>61</v>
      </c>
      <c r="F64" s="10">
        <f t="shared" si="0"/>
        <v>4.9351766497748057</v>
      </c>
      <c r="G64" s="9">
        <f t="shared" si="1"/>
        <v>3.8471723676244352E-7</v>
      </c>
      <c r="H64" s="20">
        <f t="shared" si="2"/>
        <v>3.8471723676244352E-2</v>
      </c>
    </row>
    <row r="65" spans="5:8" x14ac:dyDescent="0.3">
      <c r="E65" s="9">
        <v>62</v>
      </c>
      <c r="F65" s="10">
        <f t="shared" si="0"/>
        <v>4.9443836412101119</v>
      </c>
      <c r="G65" s="9">
        <f t="shared" si="1"/>
        <v>3.7851212004046867E-7</v>
      </c>
      <c r="H65" s="20">
        <f t="shared" si="2"/>
        <v>3.7851212004046862E-2</v>
      </c>
    </row>
    <row r="66" spans="5:8" x14ac:dyDescent="0.3">
      <c r="E66" s="9">
        <v>63</v>
      </c>
      <c r="F66" s="10">
        <f t="shared" si="0"/>
        <v>4.9534433144456917</v>
      </c>
      <c r="G66" s="9">
        <f t="shared" si="1"/>
        <v>3.7250399115093736E-7</v>
      </c>
      <c r="H66" s="20">
        <f t="shared" si="2"/>
        <v>3.7250399115093737E-2</v>
      </c>
    </row>
    <row r="67" spans="5:8" x14ac:dyDescent="0.3">
      <c r="E67" s="9">
        <v>64</v>
      </c>
      <c r="F67" s="10">
        <f t="shared" si="0"/>
        <v>4.9623603097171918</v>
      </c>
      <c r="G67" s="9">
        <f t="shared" si="1"/>
        <v>3.6668361628920398E-7</v>
      </c>
      <c r="H67" s="20">
        <f t="shared" si="2"/>
        <v>3.6668361628920398E-2</v>
      </c>
    </row>
    <row r="68" spans="5:8" x14ac:dyDescent="0.3">
      <c r="E68" s="9">
        <v>65</v>
      </c>
      <c r="F68" s="10">
        <f t="shared" ref="F68:F131" si="3">($B$7/$B$3)*LOG(E68/$B$5)</f>
        <v>4.9711390514176346</v>
      </c>
      <c r="G68" s="9">
        <f t="shared" ref="G68:G131" si="4">$B$10*$B$7/($B$3*E68)</f>
        <v>3.6104232988475475E-7</v>
      </c>
      <c r="H68" s="20">
        <f t="shared" ref="H68:H131" si="5">$B$12*$B$7/(E68*$B$3)</f>
        <v>3.6104232988475468E-2</v>
      </c>
    </row>
    <row r="69" spans="5:8" x14ac:dyDescent="0.3">
      <c r="E69" s="9">
        <v>66</v>
      </c>
      <c r="F69" s="10">
        <f t="shared" si="3"/>
        <v>4.9797837612799674</v>
      </c>
      <c r="G69" s="9">
        <f t="shared" si="4"/>
        <v>3.5557199155316749E-7</v>
      </c>
      <c r="H69" s="20">
        <f t="shared" si="5"/>
        <v>3.555719915531675E-2</v>
      </c>
    </row>
    <row r="70" spans="5:8" x14ac:dyDescent="0.3">
      <c r="E70" s="9">
        <v>67</v>
      </c>
      <c r="F70" s="10">
        <f t="shared" si="3"/>
        <v>4.9882984705683269</v>
      </c>
      <c r="G70" s="9">
        <f t="shared" si="4"/>
        <v>3.5026494690312025E-7</v>
      </c>
      <c r="H70" s="20">
        <f t="shared" si="5"/>
        <v>3.5026494690312021E-2</v>
      </c>
    </row>
    <row r="71" spans="5:8" x14ac:dyDescent="0.3">
      <c r="E71" s="9">
        <v>68</v>
      </c>
      <c r="F71" s="10">
        <f t="shared" si="3"/>
        <v>4.996687031366144</v>
      </c>
      <c r="G71" s="9">
        <f t="shared" si="4"/>
        <v>3.4511399180160373E-7</v>
      </c>
      <c r="H71" s="20">
        <f t="shared" si="5"/>
        <v>3.4511399180160371E-2</v>
      </c>
    </row>
    <row r="72" spans="5:8" x14ac:dyDescent="0.3">
      <c r="E72" s="9">
        <v>69</v>
      </c>
      <c r="F72" s="10">
        <f t="shared" si="3"/>
        <v>5.0049531270402117</v>
      </c>
      <c r="G72" s="9">
        <f t="shared" si="4"/>
        <v>3.4011233974650804E-7</v>
      </c>
      <c r="H72" s="20">
        <f t="shared" si="5"/>
        <v>3.4011233974650799E-2</v>
      </c>
    </row>
    <row r="73" spans="5:8" x14ac:dyDescent="0.3">
      <c r="E73" s="9">
        <v>70</v>
      </c>
      <c r="F73" s="10">
        <f t="shared" si="3"/>
        <v>5.0131002819518518</v>
      </c>
      <c r="G73" s="9">
        <f t="shared" si="4"/>
        <v>3.3525359203584368E-7</v>
      </c>
      <c r="H73" s="20">
        <f t="shared" si="5"/>
        <v>3.3525359203584362E-2</v>
      </c>
    </row>
    <row r="74" spans="5:8" x14ac:dyDescent="0.3">
      <c r="E74" s="9">
        <v>71</v>
      </c>
      <c r="F74" s="10">
        <f t="shared" si="3"/>
        <v>5.0211318704792856</v>
      </c>
      <c r="G74" s="9">
        <f t="shared" si="4"/>
        <v>3.3053171045787403E-7</v>
      </c>
      <c r="H74" s="20">
        <f t="shared" si="5"/>
        <v>3.3053171045787401E-2</v>
      </c>
    </row>
    <row r="75" spans="5:8" x14ac:dyDescent="0.3">
      <c r="E75" s="9">
        <v>72</v>
      </c>
      <c r="F75" s="10">
        <f t="shared" si="3"/>
        <v>5.0290511254089978</v>
      </c>
      <c r="G75" s="9">
        <f t="shared" si="4"/>
        <v>3.2594099225707023E-7</v>
      </c>
      <c r="H75" s="20">
        <f t="shared" si="5"/>
        <v>3.2594099225707017E-2</v>
      </c>
    </row>
    <row r="76" spans="5:8" x14ac:dyDescent="0.3">
      <c r="E76" s="9">
        <v>73</v>
      </c>
      <c r="F76" s="10">
        <f t="shared" si="3"/>
        <v>5.0368611457483361</v>
      </c>
      <c r="G76" s="9">
        <f t="shared" si="4"/>
        <v>3.2147604715765829E-7</v>
      </c>
      <c r="H76" s="20">
        <f t="shared" si="5"/>
        <v>3.2147604715765825E-2</v>
      </c>
    </row>
    <row r="77" spans="5:8" x14ac:dyDescent="0.3">
      <c r="E77" s="9">
        <v>74</v>
      </c>
      <c r="F77" s="10">
        <f t="shared" si="3"/>
        <v>5.0445649040065792</v>
      </c>
      <c r="G77" s="9">
        <f t="shared" si="4"/>
        <v>3.1713177625012239E-7</v>
      </c>
      <c r="H77" s="20">
        <f t="shared" si="5"/>
        <v>3.1713177625012232E-2</v>
      </c>
    </row>
    <row r="78" spans="5:8" x14ac:dyDescent="0.3">
      <c r="E78" s="9">
        <v>75</v>
      </c>
      <c r="F78" s="10">
        <f t="shared" si="3"/>
        <v>5.052165252987308</v>
      </c>
      <c r="G78" s="9">
        <f t="shared" si="4"/>
        <v>3.1290335256678742E-7</v>
      </c>
      <c r="H78" s="20">
        <f t="shared" si="5"/>
        <v>3.1290335256678743E-2</v>
      </c>
    </row>
    <row r="79" spans="5:8" x14ac:dyDescent="0.3">
      <c r="E79" s="9">
        <v>76</v>
      </c>
      <c r="F79" s="10">
        <f t="shared" si="3"/>
        <v>5.0596649321309055</v>
      </c>
      <c r="G79" s="9">
        <f t="shared" si="4"/>
        <v>3.0878620319090862E-7</v>
      </c>
      <c r="H79" s="20">
        <f t="shared" si="5"/>
        <v>3.087862031909086E-2</v>
      </c>
    </row>
    <row r="80" spans="5:8" x14ac:dyDescent="0.3">
      <c r="E80" s="9">
        <v>77</v>
      </c>
      <c r="F80" s="10">
        <f t="shared" si="3"/>
        <v>5.0670665734424771</v>
      </c>
      <c r="G80" s="9">
        <f t="shared" si="4"/>
        <v>3.0477599275985788E-7</v>
      </c>
      <c r="H80" s="20">
        <f t="shared" si="5"/>
        <v>3.0477599275985784E-2</v>
      </c>
    </row>
    <row r="81" spans="5:8" x14ac:dyDescent="0.3">
      <c r="E81" s="9">
        <v>78</v>
      </c>
      <c r="F81" s="10">
        <f t="shared" si="3"/>
        <v>5.0743727070372913</v>
      </c>
      <c r="G81" s="9">
        <f t="shared" si="4"/>
        <v>3.0086860823729559E-7</v>
      </c>
      <c r="H81" s="20">
        <f t="shared" si="5"/>
        <v>3.0086860823729553E-2</v>
      </c>
    </row>
    <row r="82" spans="5:8" x14ac:dyDescent="0.3">
      <c r="E82" s="9">
        <v>79</v>
      </c>
      <c r="F82" s="10">
        <f t="shared" si="3"/>
        <v>5.0815857663329798</v>
      </c>
      <c r="G82" s="9">
        <f t="shared" si="4"/>
        <v>2.9706014484188678E-7</v>
      </c>
      <c r="H82" s="20">
        <f t="shared" si="5"/>
        <v>2.9706014484188675E-2</v>
      </c>
    </row>
    <row r="83" spans="5:8" x14ac:dyDescent="0.3">
      <c r="E83" s="9">
        <v>80</v>
      </c>
      <c r="F83" s="10">
        <f t="shared" si="3"/>
        <v>5.0887080929151578</v>
      </c>
      <c r="G83" s="9">
        <f t="shared" si="4"/>
        <v>2.9334689303136322E-7</v>
      </c>
      <c r="H83" s="20">
        <f t="shared" si="5"/>
        <v>2.9334689303136319E-2</v>
      </c>
    </row>
    <row r="84" spans="5:8" x14ac:dyDescent="0.3">
      <c r="E84" s="9">
        <v>81</v>
      </c>
      <c r="F84" s="10">
        <f t="shared" si="3"/>
        <v>5.0957419411008047</v>
      </c>
      <c r="G84" s="9">
        <f t="shared" si="4"/>
        <v>2.8972532645072913E-7</v>
      </c>
      <c r="H84" s="20">
        <f t="shared" si="5"/>
        <v>2.8972532645072907E-2</v>
      </c>
    </row>
    <row r="85" spans="5:8" x14ac:dyDescent="0.3">
      <c r="E85" s="9">
        <v>82</v>
      </c>
      <c r="F85" s="10">
        <f t="shared" si="3"/>
        <v>5.1026894822216606</v>
      </c>
      <c r="G85" s="9">
        <f t="shared" si="4"/>
        <v>2.8619209076230552E-7</v>
      </c>
      <c r="H85" s="20">
        <f t="shared" si="5"/>
        <v>2.8619209076230553E-2</v>
      </c>
    </row>
    <row r="86" spans="5:8" x14ac:dyDescent="0.3">
      <c r="E86" s="9">
        <v>83</v>
      </c>
      <c r="F86" s="10">
        <f t="shared" si="3"/>
        <v>5.1095528086480142</v>
      </c>
      <c r="G86" s="9">
        <f t="shared" si="4"/>
        <v>2.8274399328324161E-7</v>
      </c>
      <c r="H86" s="20">
        <f t="shared" si="5"/>
        <v>2.8274399328324162E-2</v>
      </c>
    </row>
    <row r="87" spans="5:8" x14ac:dyDescent="0.3">
      <c r="E87" s="9">
        <v>84</v>
      </c>
      <c r="F87" s="10">
        <f t="shared" si="3"/>
        <v>5.1163339375715076</v>
      </c>
      <c r="G87" s="9">
        <f t="shared" si="4"/>
        <v>2.7937799336320305E-7</v>
      </c>
      <c r="H87" s="20">
        <f t="shared" si="5"/>
        <v>2.7937799336320301E-2</v>
      </c>
    </row>
    <row r="88" spans="5:8" x14ac:dyDescent="0.3">
      <c r="E88" s="9">
        <v>85</v>
      </c>
      <c r="F88" s="10">
        <f t="shared" si="3"/>
        <v>5.12303481456411</v>
      </c>
      <c r="G88" s="9">
        <f t="shared" si="4"/>
        <v>2.7609119344128301E-7</v>
      </c>
      <c r="H88" s="20">
        <f t="shared" si="5"/>
        <v>2.76091193441283E-2</v>
      </c>
    </row>
    <row r="89" spans="5:8" x14ac:dyDescent="0.3">
      <c r="E89" s="9">
        <v>86</v>
      </c>
      <c r="F89" s="10">
        <f t="shared" si="3"/>
        <v>5.1296573169289381</v>
      </c>
      <c r="G89" s="9">
        <f t="shared" si="4"/>
        <v>2.7288083072684949E-7</v>
      </c>
      <c r="H89" s="20">
        <f t="shared" si="5"/>
        <v>2.728808307268495E-2</v>
      </c>
    </row>
    <row r="90" spans="5:8" x14ac:dyDescent="0.3">
      <c r="E90" s="9">
        <v>87</v>
      </c>
      <c r="F90" s="10">
        <f t="shared" si="3"/>
        <v>5.1362032568573772</v>
      </c>
      <c r="G90" s="9">
        <f t="shared" si="4"/>
        <v>2.6974426945412709E-7</v>
      </c>
      <c r="H90" s="20">
        <f t="shared" si="5"/>
        <v>2.6974426945412702E-2</v>
      </c>
    </row>
    <row r="91" spans="5:8" x14ac:dyDescent="0.3">
      <c r="E91" s="9">
        <v>88</v>
      </c>
      <c r="F91" s="10">
        <f t="shared" si="3"/>
        <v>5.1426743844057832</v>
      </c>
      <c r="G91" s="9">
        <f t="shared" si="4"/>
        <v>2.6667899366487566E-7</v>
      </c>
      <c r="H91" s="20">
        <f t="shared" si="5"/>
        <v>2.6667899366487561E-2</v>
      </c>
    </row>
    <row r="92" spans="5:8" x14ac:dyDescent="0.3">
      <c r="E92" s="9">
        <v>89</v>
      </c>
      <c r="F92" s="10">
        <f t="shared" si="3"/>
        <v>5.1490723903040001</v>
      </c>
      <c r="G92" s="9">
        <f t="shared" si="4"/>
        <v>2.6368260047762986E-7</v>
      </c>
      <c r="H92" s="20">
        <f t="shared" si="5"/>
        <v>2.6368260047762982E-2</v>
      </c>
    </row>
    <row r="93" spans="5:8" x14ac:dyDescent="0.3">
      <c r="E93" s="9">
        <v>90</v>
      </c>
      <c r="F93" s="10">
        <f t="shared" si="3"/>
        <v>5.1553989086069638</v>
      </c>
      <c r="G93" s="9">
        <f t="shared" si="4"/>
        <v>2.607527938056562E-7</v>
      </c>
      <c r="H93" s="20">
        <f t="shared" si="5"/>
        <v>2.6075279380565617E-2</v>
      </c>
    </row>
    <row r="94" spans="5:8" x14ac:dyDescent="0.3">
      <c r="E94" s="9">
        <v>91</v>
      </c>
      <c r="F94" s="10">
        <f t="shared" si="3"/>
        <v>5.1616555191998001</v>
      </c>
      <c r="G94" s="9">
        <f t="shared" si="4"/>
        <v>2.5788737848911055E-7</v>
      </c>
      <c r="H94" s="20">
        <f t="shared" si="5"/>
        <v>2.5788737848911052E-2</v>
      </c>
    </row>
    <row r="95" spans="5:8" x14ac:dyDescent="0.3">
      <c r="E95" s="9">
        <v>92</v>
      </c>
      <c r="F95" s="10">
        <f t="shared" si="3"/>
        <v>5.1678437501660275</v>
      </c>
      <c r="G95" s="9">
        <f t="shared" si="4"/>
        <v>2.5508425480988103E-7</v>
      </c>
      <c r="H95" s="20">
        <f t="shared" si="5"/>
        <v>2.5508425480988101E-2</v>
      </c>
    </row>
    <row r="96" spans="5:8" x14ac:dyDescent="0.3">
      <c r="E96" s="9">
        <v>93</v>
      </c>
      <c r="F96" s="10">
        <f t="shared" si="3"/>
        <v>5.1739650800277337</v>
      </c>
      <c r="G96" s="9">
        <f t="shared" si="4"/>
        <v>2.5234141336031245E-7</v>
      </c>
      <c r="H96" s="20">
        <f t="shared" si="5"/>
        <v>2.5234141336031239E-2</v>
      </c>
    </row>
    <row r="97" spans="5:8" x14ac:dyDescent="0.3">
      <c r="E97" s="9">
        <v>94</v>
      </c>
      <c r="F97" s="10">
        <f t="shared" si="3"/>
        <v>5.1800209398659582</v>
      </c>
      <c r="G97" s="9">
        <f t="shared" si="4"/>
        <v>2.4965693023945802E-7</v>
      </c>
      <c r="H97" s="20">
        <f t="shared" si="5"/>
        <v>2.4965693023945801E-2</v>
      </c>
    </row>
    <row r="98" spans="5:8" x14ac:dyDescent="0.3">
      <c r="E98" s="9">
        <v>95</v>
      </c>
      <c r="F98" s="10">
        <f t="shared" si="3"/>
        <v>5.1860127153288715</v>
      </c>
      <c r="G98" s="9">
        <f t="shared" si="4"/>
        <v>2.4702896255272691E-7</v>
      </c>
      <c r="H98" s="20">
        <f t="shared" si="5"/>
        <v>2.470289625527269E-2</v>
      </c>
    </row>
    <row r="99" spans="5:8" x14ac:dyDescent="0.3">
      <c r="E99" s="9">
        <v>96</v>
      </c>
      <c r="F99" s="10">
        <f t="shared" si="3"/>
        <v>5.1919417485348145</v>
      </c>
      <c r="G99" s="9">
        <f t="shared" si="4"/>
        <v>2.4445574419280262E-7</v>
      </c>
      <c r="H99" s="20">
        <f t="shared" si="5"/>
        <v>2.4445574419280261E-2</v>
      </c>
    </row>
    <row r="100" spans="5:8" x14ac:dyDescent="0.3">
      <c r="E100" s="9">
        <v>97</v>
      </c>
      <c r="F100" s="10">
        <f t="shared" si="3"/>
        <v>5.1978093398767227</v>
      </c>
      <c r="G100" s="9">
        <f t="shared" si="4"/>
        <v>2.4193558188153664E-7</v>
      </c>
      <c r="H100" s="20">
        <f t="shared" si="5"/>
        <v>2.4193558188153663E-2</v>
      </c>
    </row>
    <row r="101" spans="5:8" x14ac:dyDescent="0.3">
      <c r="E101" s="9">
        <v>98</v>
      </c>
      <c r="F101" s="10">
        <f t="shared" si="3"/>
        <v>5.2036167497340173</v>
      </c>
      <c r="G101" s="9">
        <f t="shared" si="4"/>
        <v>2.3946685145417406E-7</v>
      </c>
      <c r="H101" s="20">
        <f t="shared" si="5"/>
        <v>2.3946685145417403E-2</v>
      </c>
    </row>
    <row r="102" spans="5:8" x14ac:dyDescent="0.3">
      <c r="E102" s="9">
        <v>99</v>
      </c>
      <c r="F102" s="10">
        <f t="shared" si="3"/>
        <v>5.2093652000975901</v>
      </c>
      <c r="G102" s="9">
        <f t="shared" si="4"/>
        <v>2.3704799436877834E-7</v>
      </c>
      <c r="H102" s="20">
        <f t="shared" si="5"/>
        <v>2.3704799436877831E-2</v>
      </c>
    </row>
    <row r="103" spans="5:8" x14ac:dyDescent="0.3">
      <c r="E103" s="9">
        <v>100</v>
      </c>
      <c r="F103" s="10">
        <f t="shared" si="3"/>
        <v>5.2150558761131238</v>
      </c>
      <c r="G103" s="9">
        <f t="shared" si="4"/>
        <v>2.3467751442509057E-7</v>
      </c>
      <c r="H103" s="20">
        <f t="shared" si="5"/>
        <v>2.3467751442509056E-2</v>
      </c>
    </row>
    <row r="104" spans="5:8" x14ac:dyDescent="0.3">
      <c r="E104" s="9">
        <v>101</v>
      </c>
      <c r="F104" s="10">
        <f t="shared" si="3"/>
        <v>5.2206899275476362</v>
      </c>
      <c r="G104" s="9">
        <f t="shared" si="4"/>
        <v>2.3235397467830745E-7</v>
      </c>
      <c r="H104" s="20">
        <f t="shared" si="5"/>
        <v>2.3235397467830744E-2</v>
      </c>
    </row>
    <row r="105" spans="5:8" x14ac:dyDescent="0.3">
      <c r="E105" s="9">
        <v>102</v>
      </c>
      <c r="F105" s="10">
        <f t="shared" si="3"/>
        <v>5.2262684701837667</v>
      </c>
      <c r="G105" s="9">
        <f t="shared" si="4"/>
        <v>2.3007599453440249E-7</v>
      </c>
      <c r="H105" s="20">
        <f t="shared" si="5"/>
        <v>2.3007599453440247E-2</v>
      </c>
    </row>
    <row r="106" spans="5:8" x14ac:dyDescent="0.3">
      <c r="E106" s="9">
        <v>103</v>
      </c>
      <c r="F106" s="10">
        <f t="shared" si="3"/>
        <v>5.2317925871460469</v>
      </c>
      <c r="G106" s="9">
        <f t="shared" si="4"/>
        <v>2.2784224701465103E-7</v>
      </c>
      <c r="H106" s="20">
        <f t="shared" si="5"/>
        <v>2.27842247014651E-2</v>
      </c>
    </row>
    <row r="107" spans="5:8" x14ac:dyDescent="0.3">
      <c r="E107" s="9">
        <v>104</v>
      </c>
      <c r="F107" s="10">
        <f t="shared" si="3"/>
        <v>5.237263330163108</v>
      </c>
      <c r="G107" s="9">
        <f t="shared" si="4"/>
        <v>2.2565145617797171E-7</v>
      </c>
      <c r="H107" s="20">
        <f t="shared" si="5"/>
        <v>2.2565145617797166E-2</v>
      </c>
    </row>
    <row r="108" spans="5:8" x14ac:dyDescent="0.3">
      <c r="E108" s="9">
        <v>105</v>
      </c>
      <c r="F108" s="10">
        <f t="shared" si="3"/>
        <v>5.2426817207694736</v>
      </c>
      <c r="G108" s="9">
        <f t="shared" si="4"/>
        <v>2.2350239469056244E-7</v>
      </c>
      <c r="H108" s="20">
        <f t="shared" si="5"/>
        <v>2.2350239469056243E-2</v>
      </c>
    </row>
    <row r="109" spans="5:8" x14ac:dyDescent="0.3">
      <c r="E109" s="9">
        <v>106</v>
      </c>
      <c r="F109" s="10">
        <f t="shared" si="3"/>
        <v>5.2480487514504155</v>
      </c>
      <c r="G109" s="9">
        <f t="shared" si="4"/>
        <v>2.2139388153310429E-7</v>
      </c>
      <c r="H109" s="20">
        <f t="shared" si="5"/>
        <v>2.2139388153310426E-2</v>
      </c>
    </row>
    <row r="110" spans="5:8" x14ac:dyDescent="0.3">
      <c r="E110" s="9">
        <v>107</v>
      </c>
      <c r="F110" s="10">
        <f t="shared" si="3"/>
        <v>5.2533653867330372</v>
      </c>
      <c r="G110" s="9">
        <f t="shared" si="4"/>
        <v>2.1932477983653321E-7</v>
      </c>
      <c r="H110" s="20">
        <f t="shared" si="5"/>
        <v>2.1932477983653321E-2</v>
      </c>
    </row>
    <row r="111" spans="5:8" x14ac:dyDescent="0.3">
      <c r="E111" s="9">
        <v>108</v>
      </c>
      <c r="F111" s="10">
        <f t="shared" si="3"/>
        <v>5.2586325642266196</v>
      </c>
      <c r="G111" s="9">
        <f t="shared" si="4"/>
        <v>2.1729399483804682E-7</v>
      </c>
      <c r="H111" s="20">
        <f t="shared" si="5"/>
        <v>2.172939948380468E-2</v>
      </c>
    </row>
    <row r="112" spans="5:8" x14ac:dyDescent="0.3">
      <c r="E112" s="9">
        <v>109</v>
      </c>
      <c r="F112" s="10">
        <f t="shared" si="3"/>
        <v>5.26385119561502</v>
      </c>
      <c r="G112" s="9">
        <f t="shared" si="4"/>
        <v>2.1530047194962438E-7</v>
      </c>
      <c r="H112" s="20">
        <f t="shared" si="5"/>
        <v>2.1530047194962435E-2</v>
      </c>
    </row>
    <row r="113" spans="5:8" x14ac:dyDescent="0.3">
      <c r="E113" s="9">
        <v>110</v>
      </c>
      <c r="F113" s="10">
        <f t="shared" si="3"/>
        <v>5.2690221676037501</v>
      </c>
      <c r="G113" s="9">
        <f t="shared" si="4"/>
        <v>2.1334319493190051E-7</v>
      </c>
      <c r="H113" s="20">
        <f t="shared" si="5"/>
        <v>2.1334319493190049E-2</v>
      </c>
    </row>
    <row r="114" spans="5:8" x14ac:dyDescent="0.3">
      <c r="E114" s="9">
        <v>111</v>
      </c>
      <c r="F114" s="10">
        <f t="shared" si="3"/>
        <v>5.274146342824201</v>
      </c>
      <c r="G114" s="9">
        <f t="shared" si="4"/>
        <v>2.1142118416674823E-7</v>
      </c>
      <c r="H114" s="20">
        <f t="shared" si="5"/>
        <v>2.1142118416674821E-2</v>
      </c>
    </row>
    <row r="115" spans="5:8" x14ac:dyDescent="0.3">
      <c r="E115" s="9">
        <v>112</v>
      </c>
      <c r="F115" s="10">
        <f t="shared" si="3"/>
        <v>5.2792245606973243</v>
      </c>
      <c r="G115" s="9">
        <f t="shared" si="4"/>
        <v>2.0953349502240227E-7</v>
      </c>
      <c r="H115" s="20">
        <f t="shared" si="5"/>
        <v>2.0953349502240225E-2</v>
      </c>
    </row>
    <row r="116" spans="5:8" x14ac:dyDescent="0.3">
      <c r="E116" s="9">
        <v>113</v>
      </c>
      <c r="F116" s="10">
        <f t="shared" si="3"/>
        <v>5.2842576382589108</v>
      </c>
      <c r="G116" s="9">
        <f t="shared" si="4"/>
        <v>2.0767921630538987E-7</v>
      </c>
      <c r="H116" s="20">
        <f t="shared" si="5"/>
        <v>2.0767921630538984E-2</v>
      </c>
    </row>
    <row r="117" spans="5:8" x14ac:dyDescent="0.3">
      <c r="E117" s="9">
        <v>114</v>
      </c>
      <c r="F117" s="10">
        <f t="shared" si="3"/>
        <v>5.2892463709485273</v>
      </c>
      <c r="G117" s="9">
        <f t="shared" si="4"/>
        <v>2.0585746879393909E-7</v>
      </c>
      <c r="H117" s="20">
        <f t="shared" si="5"/>
        <v>2.0585746879393907E-2</v>
      </c>
    </row>
    <row r="118" spans="5:8" x14ac:dyDescent="0.3">
      <c r="E118" s="9">
        <v>115</v>
      </c>
      <c r="F118" s="10">
        <f t="shared" si="3"/>
        <v>5.2941915333639935</v>
      </c>
      <c r="G118" s="9">
        <f t="shared" si="4"/>
        <v>2.0406740384790484E-7</v>
      </c>
      <c r="H118" s="20">
        <f t="shared" si="5"/>
        <v>2.0406740384790484E-2</v>
      </c>
    </row>
    <row r="119" spans="5:8" x14ac:dyDescent="0.3">
      <c r="E119" s="9">
        <v>116</v>
      </c>
      <c r="F119" s="10">
        <f t="shared" si="3"/>
        <v>5.299093879983193</v>
      </c>
      <c r="G119" s="9">
        <f t="shared" si="4"/>
        <v>2.0230820209059529E-7</v>
      </c>
      <c r="H119" s="20">
        <f t="shared" si="5"/>
        <v>2.0230820209059527E-2</v>
      </c>
    </row>
    <row r="120" spans="5:8" x14ac:dyDescent="0.3">
      <c r="E120" s="9">
        <v>117</v>
      </c>
      <c r="F120" s="10">
        <f t="shared" si="3"/>
        <v>5.3039541458549131</v>
      </c>
      <c r="G120" s="9">
        <f t="shared" si="4"/>
        <v>2.0057907215819704E-7</v>
      </c>
      <c r="H120" s="20">
        <f t="shared" si="5"/>
        <v>2.0057907215819702E-2</v>
      </c>
    </row>
    <row r="121" spans="5:8" x14ac:dyDescent="0.3">
      <c r="E121" s="9">
        <v>118</v>
      </c>
      <c r="F121" s="10">
        <f t="shared" si="3"/>
        <v>5.308773047260277</v>
      </c>
      <c r="G121" s="9">
        <f t="shared" si="4"/>
        <v>1.988792495127886E-7</v>
      </c>
      <c r="H121" s="20">
        <f t="shared" si="5"/>
        <v>1.9887924951278859E-2</v>
      </c>
    </row>
    <row r="122" spans="5:8" x14ac:dyDescent="0.3">
      <c r="E122" s="9">
        <v>119</v>
      </c>
      <c r="F122" s="10">
        <f t="shared" si="3"/>
        <v>5.3135512823462765</v>
      </c>
      <c r="G122" s="9">
        <f t="shared" si="4"/>
        <v>1.9720799531520215E-7</v>
      </c>
      <c r="H122" s="20">
        <f t="shared" si="5"/>
        <v>1.9720799531520214E-2</v>
      </c>
    </row>
    <row r="123" spans="5:8" x14ac:dyDescent="0.3">
      <c r="E123" s="9">
        <v>120</v>
      </c>
      <c r="F123" s="10">
        <f t="shared" si="3"/>
        <v>5.3182895317327805</v>
      </c>
      <c r="G123" s="9">
        <f t="shared" si="4"/>
        <v>1.9556459535424215E-7</v>
      </c>
      <c r="H123" s="20">
        <f t="shared" si="5"/>
        <v>1.9556459535424214E-2</v>
      </c>
    </row>
    <row r="124" spans="5:8" x14ac:dyDescent="0.3">
      <c r="E124" s="9">
        <v>121</v>
      </c>
      <c r="F124" s="10">
        <f t="shared" si="3"/>
        <v>5.3229884590943746</v>
      </c>
      <c r="G124" s="9">
        <f t="shared" si="4"/>
        <v>1.9394835902900044E-7</v>
      </c>
      <c r="H124" s="20">
        <f t="shared" si="5"/>
        <v>1.9394835902900042E-2</v>
      </c>
    </row>
    <row r="125" spans="5:8" x14ac:dyDescent="0.3">
      <c r="E125" s="9">
        <v>122</v>
      </c>
      <c r="F125" s="10">
        <f t="shared" si="3"/>
        <v>5.3276487117182443</v>
      </c>
      <c r="G125" s="9">
        <f t="shared" si="4"/>
        <v>1.9235861838122176E-7</v>
      </c>
      <c r="H125" s="20">
        <f t="shared" si="5"/>
        <v>1.9235861838122176E-2</v>
      </c>
    </row>
    <row r="126" spans="5:8" x14ac:dyDescent="0.3">
      <c r="E126" s="9">
        <v>123</v>
      </c>
      <c r="F126" s="10">
        <f t="shared" si="3"/>
        <v>5.3322709210392834</v>
      </c>
      <c r="G126" s="9">
        <f t="shared" si="4"/>
        <v>1.9079472717487037E-7</v>
      </c>
      <c r="H126" s="20">
        <f t="shared" si="5"/>
        <v>1.9079472717487035E-2</v>
      </c>
    </row>
    <row r="127" spans="5:8" x14ac:dyDescent="0.3">
      <c r="E127" s="9">
        <v>124</v>
      </c>
      <c r="F127" s="10">
        <f t="shared" si="3"/>
        <v>5.3368557031535495</v>
      </c>
      <c r="G127" s="9">
        <f t="shared" si="4"/>
        <v>1.8925606002023434E-7</v>
      </c>
      <c r="H127" s="20">
        <f t="shared" si="5"/>
        <v>1.8925606002023431E-2</v>
      </c>
    </row>
    <row r="128" spans="5:8" x14ac:dyDescent="0.3">
      <c r="E128" s="9">
        <v>125</v>
      </c>
      <c r="F128" s="10">
        <f t="shared" si="3"/>
        <v>5.3414036593110898</v>
      </c>
      <c r="G128" s="9">
        <f t="shared" si="4"/>
        <v>1.8774201154007247E-7</v>
      </c>
      <c r="H128" s="20">
        <f t="shared" si="5"/>
        <v>1.8774201154007245E-2</v>
      </c>
    </row>
    <row r="129" spans="5:8" x14ac:dyDescent="0.3">
      <c r="E129" s="9">
        <v>126</v>
      </c>
      <c r="F129" s="10">
        <f t="shared" si="3"/>
        <v>5.3459153763891294</v>
      </c>
      <c r="G129" s="9">
        <f t="shared" si="4"/>
        <v>1.8625199557546868E-7</v>
      </c>
      <c r="H129" s="20">
        <f t="shared" si="5"/>
        <v>1.8625199557546868E-2</v>
      </c>
    </row>
    <row r="130" spans="5:8" x14ac:dyDescent="0.3">
      <c r="E130" s="9">
        <v>127</v>
      </c>
      <c r="F130" s="10">
        <f t="shared" si="3"/>
        <v>5.3503914273465671</v>
      </c>
      <c r="G130" s="9">
        <f t="shared" si="4"/>
        <v>1.8478544442920517E-7</v>
      </c>
      <c r="H130" s="20">
        <f t="shared" si="5"/>
        <v>1.8478544442920516E-2</v>
      </c>
    </row>
    <row r="131" spans="5:8" x14ac:dyDescent="0.3">
      <c r="E131" s="9">
        <v>128</v>
      </c>
      <c r="F131" s="10">
        <f t="shared" si="3"/>
        <v>5.3548323716606303</v>
      </c>
      <c r="G131" s="9">
        <f t="shared" si="4"/>
        <v>1.8334180814460199E-7</v>
      </c>
      <c r="H131" s="20">
        <f t="shared" si="5"/>
        <v>1.8334180814460199E-2</v>
      </c>
    </row>
    <row r="132" spans="5:8" x14ac:dyDescent="0.3">
      <c r="E132" s="9">
        <v>129</v>
      </c>
      <c r="F132" s="10">
        <f t="shared" ref="F132:F195" si="6">($B$7/$B$3)*LOG(E132/$B$5)</f>
        <v>5.3592387557465599</v>
      </c>
      <c r="G132" s="9">
        <f t="shared" ref="G132:G195" si="7">$B$10*$B$7/($B$3*E132)</f>
        <v>1.8192055381789967E-7</v>
      </c>
      <c r="H132" s="20">
        <f t="shared" ref="H132:H195" si="8">$B$12*$B$7/(E132*$B$3)</f>
        <v>1.8192055381789963E-2</v>
      </c>
    </row>
    <row r="133" spans="5:8" x14ac:dyDescent="0.3">
      <c r="E133" s="9">
        <v>130</v>
      </c>
      <c r="F133" s="10">
        <f t="shared" si="6"/>
        <v>5.3636111133610731</v>
      </c>
      <c r="G133" s="9">
        <f t="shared" si="7"/>
        <v>1.8052116494237738E-7</v>
      </c>
      <c r="H133" s="20">
        <f t="shared" si="8"/>
        <v>1.8052116494237734E-2</v>
      </c>
    </row>
    <row r="134" spans="5:8" x14ac:dyDescent="0.3">
      <c r="E134" s="9">
        <v>131</v>
      </c>
      <c r="F134" s="10">
        <f t="shared" si="6"/>
        <v>5.3679499659903724</v>
      </c>
      <c r="G134" s="9">
        <f t="shared" si="7"/>
        <v>1.7914314078251186E-7</v>
      </c>
      <c r="H134" s="20">
        <f t="shared" si="8"/>
        <v>1.7914314078251184E-2</v>
      </c>
    </row>
    <row r="135" spans="5:8" x14ac:dyDescent="0.3">
      <c r="E135" s="9">
        <v>132</v>
      </c>
      <c r="F135" s="10">
        <f t="shared" si="6"/>
        <v>5.372255823223405</v>
      </c>
      <c r="G135" s="9">
        <f t="shared" si="7"/>
        <v>1.7778599577658374E-7</v>
      </c>
      <c r="H135" s="20">
        <f t="shared" si="8"/>
        <v>1.7778599577658375E-2</v>
      </c>
    </row>
    <row r="136" spans="5:8" x14ac:dyDescent="0.3">
      <c r="E136" s="9">
        <v>133</v>
      </c>
      <c r="F136" s="10">
        <f t="shared" si="6"/>
        <v>5.3765291831110371</v>
      </c>
      <c r="G136" s="9">
        <f t="shared" si="7"/>
        <v>1.7644925896623352E-7</v>
      </c>
      <c r="H136" s="20">
        <f t="shared" si="8"/>
        <v>1.7644925896623347E-2</v>
      </c>
    </row>
    <row r="137" spans="5:8" x14ac:dyDescent="0.3">
      <c r="E137" s="9">
        <v>134</v>
      </c>
      <c r="F137" s="10">
        <f t="shared" si="6"/>
        <v>5.3807705325117645</v>
      </c>
      <c r="G137" s="9">
        <f t="shared" si="7"/>
        <v>1.7513247345156012E-7</v>
      </c>
      <c r="H137" s="20">
        <f t="shared" si="8"/>
        <v>1.7513247345156011E-2</v>
      </c>
    </row>
    <row r="138" spans="5:8" x14ac:dyDescent="0.3">
      <c r="E138" s="9">
        <v>135</v>
      </c>
      <c r="F138" s="10">
        <f t="shared" si="6"/>
        <v>5.3849803474245865</v>
      </c>
      <c r="G138" s="9">
        <f t="shared" si="7"/>
        <v>1.7383519587043746E-7</v>
      </c>
      <c r="H138" s="20">
        <f t="shared" si="8"/>
        <v>1.7383519587043744E-2</v>
      </c>
    </row>
    <row r="139" spans="5:8" x14ac:dyDescent="0.3">
      <c r="E139" s="9">
        <v>136</v>
      </c>
      <c r="F139" s="10">
        <f t="shared" si="6"/>
        <v>5.3891590933095834</v>
      </c>
      <c r="G139" s="9">
        <f t="shared" si="7"/>
        <v>1.7255699590080187E-7</v>
      </c>
      <c r="H139" s="20">
        <f t="shared" si="8"/>
        <v>1.7255699590080185E-2</v>
      </c>
    </row>
    <row r="140" spans="5:8" x14ac:dyDescent="0.3">
      <c r="E140" s="9">
        <v>137</v>
      </c>
      <c r="F140" s="10">
        <f t="shared" si="6"/>
        <v>5.3933072253967582</v>
      </c>
      <c r="G140" s="9">
        <f t="shared" si="7"/>
        <v>1.7129745578473763E-7</v>
      </c>
      <c r="H140" s="20">
        <f t="shared" si="8"/>
        <v>1.712974557847376E-2</v>
      </c>
    </row>
    <row r="141" spans="5:8" x14ac:dyDescent="0.3">
      <c r="E141" s="9">
        <v>138</v>
      </c>
      <c r="F141" s="10">
        <f t="shared" si="6"/>
        <v>5.3974251889836502</v>
      </c>
      <c r="G141" s="9">
        <f t="shared" si="7"/>
        <v>1.7005616987325402E-7</v>
      </c>
      <c r="H141" s="20">
        <f t="shared" si="8"/>
        <v>1.70056169873254E-2</v>
      </c>
    </row>
    <row r="142" spans="5:8" x14ac:dyDescent="0.3">
      <c r="E142" s="9">
        <v>139</v>
      </c>
      <c r="F142" s="10">
        <f t="shared" si="6"/>
        <v>5.4015134197221899</v>
      </c>
      <c r="G142" s="9">
        <f t="shared" si="7"/>
        <v>1.6883274419071263E-7</v>
      </c>
      <c r="H142" s="20">
        <f t="shared" si="8"/>
        <v>1.6883274419071261E-2</v>
      </c>
    </row>
    <row r="143" spans="5:8" x14ac:dyDescent="0.3">
      <c r="E143" s="9">
        <v>140</v>
      </c>
      <c r="F143" s="10">
        <f t="shared" si="6"/>
        <v>5.4055723438952903</v>
      </c>
      <c r="G143" s="9">
        <f t="shared" si="7"/>
        <v>1.6762679601792184E-7</v>
      </c>
      <c r="H143" s="20">
        <f t="shared" si="8"/>
        <v>1.6762679601792181E-2</v>
      </c>
    </row>
    <row r="144" spans="5:8" x14ac:dyDescent="0.3">
      <c r="E144" s="9">
        <v>141</v>
      </c>
      <c r="F144" s="10">
        <f t="shared" si="6"/>
        <v>5.4096023786835801</v>
      </c>
      <c r="G144" s="9">
        <f t="shared" si="7"/>
        <v>1.6643795349297202E-7</v>
      </c>
      <c r="H144" s="20">
        <f t="shared" si="8"/>
        <v>1.6643795349297202E-2</v>
      </c>
    </row>
    <row r="145" spans="5:8" x14ac:dyDescent="0.3">
      <c r="E145" s="9">
        <v>142</v>
      </c>
      <c r="F145" s="10">
        <f t="shared" si="6"/>
        <v>5.4136039324227232</v>
      </c>
      <c r="G145" s="9">
        <f t="shared" si="7"/>
        <v>1.6526585522893701E-7</v>
      </c>
      <c r="H145" s="20">
        <f t="shared" si="8"/>
        <v>1.65265855228937E-2</v>
      </c>
    </row>
    <row r="146" spans="5:8" x14ac:dyDescent="0.3">
      <c r="E146" s="9">
        <v>143</v>
      </c>
      <c r="F146" s="10">
        <f t="shared" si="6"/>
        <v>5.4175774048516985</v>
      </c>
      <c r="G146" s="9">
        <f t="shared" si="7"/>
        <v>1.6411014994761577E-7</v>
      </c>
      <c r="H146" s="20">
        <f t="shared" si="8"/>
        <v>1.6411014994761577E-2</v>
      </c>
    </row>
    <row r="147" spans="5:8" x14ac:dyDescent="0.3">
      <c r="E147" s="9">
        <v>144</v>
      </c>
      <c r="F147" s="10">
        <f t="shared" si="6"/>
        <v>5.4215231873524354</v>
      </c>
      <c r="G147" s="9">
        <f t="shared" si="7"/>
        <v>1.6297049612853511E-7</v>
      </c>
      <c r="H147" s="20">
        <f t="shared" si="8"/>
        <v>1.6297049612853508E-2</v>
      </c>
    </row>
    <row r="148" spans="5:8" x14ac:dyDescent="0.3">
      <c r="E148" s="9">
        <v>145</v>
      </c>
      <c r="F148" s="10">
        <f t="shared" si="6"/>
        <v>5.4254416631811599</v>
      </c>
      <c r="G148" s="9">
        <f t="shared" si="7"/>
        <v>1.6184656167247627E-7</v>
      </c>
      <c r="H148" s="20">
        <f t="shared" si="8"/>
        <v>1.6184656167247624E-2</v>
      </c>
    </row>
    <row r="149" spans="5:8" x14ac:dyDescent="0.3">
      <c r="E149" s="9">
        <v>146</v>
      </c>
      <c r="F149" s="10">
        <f t="shared" si="6"/>
        <v>5.4293332076917746</v>
      </c>
      <c r="G149" s="9">
        <f t="shared" si="7"/>
        <v>1.6073802357882915E-7</v>
      </c>
      <c r="H149" s="20">
        <f t="shared" si="8"/>
        <v>1.6073802357882912E-2</v>
      </c>
    </row>
    <row r="150" spans="5:8" x14ac:dyDescent="0.3">
      <c r="E150" s="9">
        <v>147</v>
      </c>
      <c r="F150" s="10">
        <f t="shared" si="6"/>
        <v>5.4331981885516401</v>
      </c>
      <c r="G150" s="9">
        <f t="shared" si="7"/>
        <v>1.5964456763611601E-7</v>
      </c>
      <c r="H150" s="20">
        <f t="shared" si="8"/>
        <v>1.5964456763611599E-2</v>
      </c>
    </row>
    <row r="151" spans="5:8" x14ac:dyDescent="0.3">
      <c r="E151" s="9">
        <v>148</v>
      </c>
      <c r="F151" s="10">
        <f t="shared" si="6"/>
        <v>5.4370369659500168</v>
      </c>
      <c r="G151" s="9">
        <f t="shared" si="7"/>
        <v>1.5856588812506119E-7</v>
      </c>
      <c r="H151" s="20">
        <f t="shared" si="8"/>
        <v>1.5856588812506116E-2</v>
      </c>
    </row>
    <row r="152" spans="5:8" x14ac:dyDescent="0.3">
      <c r="E152" s="9">
        <v>149</v>
      </c>
      <c r="F152" s="10">
        <f t="shared" si="6"/>
        <v>5.4408498927995073</v>
      </c>
      <c r="G152" s="9">
        <f t="shared" si="7"/>
        <v>1.5750168753361782E-7</v>
      </c>
      <c r="H152" s="20">
        <f t="shared" si="8"/>
        <v>1.5750168753361781E-2</v>
      </c>
    </row>
    <row r="153" spans="5:8" x14ac:dyDescent="0.3">
      <c r="E153" s="9">
        <v>150</v>
      </c>
      <c r="F153" s="10">
        <f t="shared" si="6"/>
        <v>5.4446373149307465</v>
      </c>
      <c r="G153" s="9">
        <f t="shared" si="7"/>
        <v>1.5645167628339371E-7</v>
      </c>
      <c r="H153" s="20">
        <f t="shared" si="8"/>
        <v>1.5645167628339372E-2</v>
      </c>
    </row>
    <row r="154" spans="5:8" x14ac:dyDescent="0.3">
      <c r="E154" s="9">
        <v>151</v>
      </c>
      <c r="F154" s="10">
        <f t="shared" si="6"/>
        <v>5.4483995712806319</v>
      </c>
      <c r="G154" s="9">
        <f t="shared" si="7"/>
        <v>1.5541557246694738E-7</v>
      </c>
      <c r="H154" s="20">
        <f t="shared" si="8"/>
        <v>1.5541557246694737E-2</v>
      </c>
    </row>
    <row r="155" spans="5:8" x14ac:dyDescent="0.3">
      <c r="E155" s="9">
        <v>152</v>
      </c>
      <c r="F155" s="10">
        <f t="shared" si="6"/>
        <v>5.452136994074344</v>
      </c>
      <c r="G155" s="9">
        <f t="shared" si="7"/>
        <v>1.5439310159545431E-7</v>
      </c>
      <c r="H155" s="20">
        <f t="shared" si="8"/>
        <v>1.543931015954543E-2</v>
      </c>
    </row>
    <row r="156" spans="5:8" x14ac:dyDescent="0.3">
      <c r="E156" s="9">
        <v>153</v>
      </c>
      <c r="F156" s="10">
        <f t="shared" si="6"/>
        <v>5.4558499090013877</v>
      </c>
      <c r="G156" s="9">
        <f t="shared" si="7"/>
        <v>1.5338399635626834E-7</v>
      </c>
      <c r="H156" s="20">
        <f t="shared" si="8"/>
        <v>1.5338399635626833E-2</v>
      </c>
    </row>
    <row r="157" spans="5:8" x14ac:dyDescent="0.3">
      <c r="E157" s="9">
        <v>154</v>
      </c>
      <c r="F157" s="10">
        <f t="shared" si="6"/>
        <v>5.4595386353859148</v>
      </c>
      <c r="G157" s="9">
        <f t="shared" si="7"/>
        <v>1.5238799637992894E-7</v>
      </c>
      <c r="H157" s="20">
        <f t="shared" si="8"/>
        <v>1.5238799637992892E-2</v>
      </c>
    </row>
    <row r="158" spans="5:8" x14ac:dyDescent="0.3">
      <c r="E158" s="9">
        <v>155</v>
      </c>
      <c r="F158" s="10">
        <f t="shared" si="6"/>
        <v>5.4632034863515164</v>
      </c>
      <c r="G158" s="9">
        <f t="shared" si="7"/>
        <v>1.5140484801618746E-7</v>
      </c>
      <c r="H158" s="20">
        <f t="shared" si="8"/>
        <v>1.5140484801618745E-2</v>
      </c>
    </row>
    <row r="159" spans="5:8" x14ac:dyDescent="0.3">
      <c r="E159" s="9">
        <v>156</v>
      </c>
      <c r="F159" s="10">
        <f t="shared" si="6"/>
        <v>5.4668447689807289</v>
      </c>
      <c r="G159" s="9">
        <f t="shared" si="7"/>
        <v>1.504343041186478E-7</v>
      </c>
      <c r="H159" s="20">
        <f t="shared" si="8"/>
        <v>1.5043430411864777E-2</v>
      </c>
    </row>
    <row r="160" spans="5:8" x14ac:dyDescent="0.3">
      <c r="E160" s="9">
        <v>157</v>
      </c>
      <c r="F160" s="10">
        <f t="shared" si="6"/>
        <v>5.4704627844694471</v>
      </c>
      <c r="G160" s="9">
        <f t="shared" si="7"/>
        <v>1.4947612383763729E-7</v>
      </c>
      <c r="H160" s="20">
        <f t="shared" si="8"/>
        <v>1.4947612383763728E-2</v>
      </c>
    </row>
    <row r="161" spans="5:8" x14ac:dyDescent="0.3">
      <c r="E161" s="9">
        <v>158</v>
      </c>
      <c r="F161" s="10">
        <f t="shared" si="6"/>
        <v>5.4740578282764174</v>
      </c>
      <c r="G161" s="9">
        <f t="shared" si="7"/>
        <v>1.4853007242094339E-7</v>
      </c>
      <c r="H161" s="20">
        <f t="shared" si="8"/>
        <v>1.4853007242094337E-2</v>
      </c>
    </row>
    <row r="162" spans="5:8" x14ac:dyDescent="0.3">
      <c r="E162" s="9">
        <v>159</v>
      </c>
      <c r="F162" s="10">
        <f t="shared" si="6"/>
        <v>5.4776301902680382</v>
      </c>
      <c r="G162" s="9">
        <f t="shared" si="7"/>
        <v>1.4759592102206955E-7</v>
      </c>
      <c r="H162" s="20">
        <f t="shared" si="8"/>
        <v>1.4759592102206953E-2</v>
      </c>
    </row>
    <row r="163" spans="5:8" x14ac:dyDescent="0.3">
      <c r="E163" s="9">
        <v>160</v>
      </c>
      <c r="F163" s="10">
        <f t="shared" si="6"/>
        <v>5.4811801548585963</v>
      </c>
      <c r="G163" s="9">
        <f t="shared" si="7"/>
        <v>1.4667344651568161E-7</v>
      </c>
      <c r="H163" s="20">
        <f t="shared" si="8"/>
        <v>1.4667344651568159E-2</v>
      </c>
    </row>
    <row r="164" spans="5:8" x14ac:dyDescent="0.3">
      <c r="E164" s="9">
        <v>161</v>
      </c>
      <c r="F164" s="10">
        <f t="shared" si="6"/>
        <v>5.48470800114616</v>
      </c>
      <c r="G164" s="9">
        <f t="shared" si="7"/>
        <v>1.4576243131993203E-7</v>
      </c>
      <c r="H164" s="20">
        <f t="shared" si="8"/>
        <v>1.45762431319932E-2</v>
      </c>
    </row>
    <row r="165" spans="5:8" x14ac:dyDescent="0.3">
      <c r="E165" s="9">
        <v>162</v>
      </c>
      <c r="F165" s="10">
        <f t="shared" si="6"/>
        <v>5.4882140030442423</v>
      </c>
      <c r="G165" s="9">
        <f t="shared" si="7"/>
        <v>1.4486266322536456E-7</v>
      </c>
      <c r="H165" s="20">
        <f t="shared" si="8"/>
        <v>1.4486266322536454E-2</v>
      </c>
    </row>
    <row r="166" spans="5:8" x14ac:dyDescent="0.3">
      <c r="E166" s="9">
        <v>163</v>
      </c>
      <c r="F166" s="10">
        <f t="shared" si="6"/>
        <v>5.4916984294094311</v>
      </c>
      <c r="G166" s="9">
        <f t="shared" si="7"/>
        <v>1.439739352301169E-7</v>
      </c>
      <c r="H166" s="20">
        <f t="shared" si="8"/>
        <v>1.4397393523011689E-2</v>
      </c>
    </row>
    <row r="167" spans="5:8" x14ac:dyDescent="0.3">
      <c r="E167" s="9">
        <v>164</v>
      </c>
      <c r="F167" s="10">
        <f t="shared" si="6"/>
        <v>5.4951615441650992</v>
      </c>
      <c r="G167" s="9">
        <f t="shared" si="7"/>
        <v>1.4309604538115276E-7</v>
      </c>
      <c r="H167" s="20">
        <f t="shared" si="8"/>
        <v>1.4309604538115276E-2</v>
      </c>
    </row>
    <row r="168" spans="5:8" x14ac:dyDescent="0.3">
      <c r="E168" s="9">
        <v>165</v>
      </c>
      <c r="F168" s="10">
        <f t="shared" si="6"/>
        <v>5.4986036064213719</v>
      </c>
      <c r="G168" s="9">
        <f t="shared" si="7"/>
        <v>1.4222879662126701E-7</v>
      </c>
      <c r="H168" s="20">
        <f t="shared" si="8"/>
        <v>1.42228796621267E-2</v>
      </c>
    </row>
    <row r="169" spans="5:8" x14ac:dyDescent="0.3">
      <c r="E169" s="9">
        <v>166</v>
      </c>
      <c r="F169" s="10">
        <f t="shared" si="6"/>
        <v>5.5020248705914518</v>
      </c>
      <c r="G169" s="9">
        <f t="shared" si="7"/>
        <v>1.413719966416208E-7</v>
      </c>
      <c r="H169" s="20">
        <f t="shared" si="8"/>
        <v>1.4137199664162081E-2</v>
      </c>
    </row>
    <row r="170" spans="5:8" x14ac:dyDescent="0.3">
      <c r="E170" s="9">
        <v>167</v>
      </c>
      <c r="F170" s="10">
        <f t="shared" si="6"/>
        <v>5.5054255865044697</v>
      </c>
      <c r="G170" s="9">
        <f t="shared" si="7"/>
        <v>1.4052545773957521E-7</v>
      </c>
      <c r="H170" s="20">
        <f t="shared" si="8"/>
        <v>1.4052545773957519E-2</v>
      </c>
    </row>
    <row r="171" spans="5:8" x14ac:dyDescent="0.3">
      <c r="E171" s="9">
        <v>168</v>
      </c>
      <c r="F171" s="10">
        <f t="shared" si="6"/>
        <v>5.5088059995149461</v>
      </c>
      <c r="G171" s="9">
        <f t="shared" si="7"/>
        <v>1.3968899668160152E-7</v>
      </c>
      <c r="H171" s="20">
        <f t="shared" si="8"/>
        <v>1.396889966816015E-2</v>
      </c>
    </row>
    <row r="172" spans="5:8" x14ac:dyDescent="0.3">
      <c r="E172" s="9">
        <v>169</v>
      </c>
      <c r="F172" s="10">
        <f t="shared" si="6"/>
        <v>5.5121663506090224</v>
      </c>
      <c r="G172" s="9">
        <f t="shared" si="7"/>
        <v>1.388624345710595E-7</v>
      </c>
      <c r="H172" s="20">
        <f t="shared" si="8"/>
        <v>1.3886243457105948E-2</v>
      </c>
    </row>
    <row r="173" spans="5:8" x14ac:dyDescent="0.3">
      <c r="E173" s="9">
        <v>170</v>
      </c>
      <c r="F173" s="10">
        <f t="shared" si="6"/>
        <v>5.5155068765075486</v>
      </c>
      <c r="G173" s="9">
        <f t="shared" si="7"/>
        <v>1.380455967206415E-7</v>
      </c>
      <c r="H173" s="20">
        <f t="shared" si="8"/>
        <v>1.380455967206415E-2</v>
      </c>
    </row>
    <row r="174" spans="5:8" x14ac:dyDescent="0.3">
      <c r="E174" s="9">
        <v>171</v>
      </c>
      <c r="F174" s="10">
        <f t="shared" si="6"/>
        <v>5.5188278097661501</v>
      </c>
      <c r="G174" s="9">
        <f t="shared" si="7"/>
        <v>1.3723831252929273E-7</v>
      </c>
      <c r="H174" s="20">
        <f t="shared" si="8"/>
        <v>1.372383125292927E-2</v>
      </c>
    </row>
    <row r="175" spans="5:8" x14ac:dyDescent="0.3">
      <c r="E175" s="9">
        <v>172</v>
      </c>
      <c r="F175" s="10">
        <f t="shared" si="6"/>
        <v>5.5221293788723766</v>
      </c>
      <c r="G175" s="9">
        <f t="shared" si="7"/>
        <v>1.3644041536342475E-7</v>
      </c>
      <c r="H175" s="20">
        <f t="shared" si="8"/>
        <v>1.3644041536342475E-2</v>
      </c>
    </row>
    <row r="176" spans="5:8" x14ac:dyDescent="0.3">
      <c r="E176" s="9">
        <v>173</v>
      </c>
      <c r="F176" s="10">
        <f t="shared" si="6"/>
        <v>5.5254118083400368</v>
      </c>
      <c r="G176" s="9">
        <f t="shared" si="7"/>
        <v>1.3565174244224889E-7</v>
      </c>
      <c r="H176" s="20">
        <f t="shared" si="8"/>
        <v>1.3565174244224886E-2</v>
      </c>
    </row>
    <row r="177" spans="5:8" x14ac:dyDescent="0.3">
      <c r="E177" s="9">
        <v>174</v>
      </c>
      <c r="F177" s="10">
        <f t="shared" si="6"/>
        <v>5.5286753188008149</v>
      </c>
      <c r="G177" s="9">
        <f t="shared" si="7"/>
        <v>1.3487213472706354E-7</v>
      </c>
      <c r="H177" s="20">
        <f t="shared" si="8"/>
        <v>1.3487213472706351E-2</v>
      </c>
    </row>
    <row r="178" spans="5:8" x14ac:dyDescent="0.3">
      <c r="E178" s="9">
        <v>175</v>
      </c>
      <c r="F178" s="10">
        <f t="shared" si="6"/>
        <v>5.5319201270932554</v>
      </c>
      <c r="G178" s="9">
        <f t="shared" si="7"/>
        <v>1.3410143681433746E-7</v>
      </c>
      <c r="H178" s="20">
        <f t="shared" si="8"/>
        <v>1.3410143681433746E-2</v>
      </c>
    </row>
    <row r="179" spans="5:8" x14ac:dyDescent="0.3">
      <c r="E179" s="9">
        <v>176</v>
      </c>
      <c r="F179" s="10">
        <f t="shared" si="6"/>
        <v>5.5351464463492208</v>
      </c>
      <c r="G179" s="9">
        <f t="shared" si="7"/>
        <v>1.3333949683243783E-7</v>
      </c>
      <c r="H179" s="20">
        <f t="shared" si="8"/>
        <v>1.333394968324378E-2</v>
      </c>
    </row>
    <row r="180" spans="5:8" x14ac:dyDescent="0.3">
      <c r="E180" s="9">
        <v>177</v>
      </c>
      <c r="F180" s="10">
        <f t="shared" si="6"/>
        <v>5.5383544860778997</v>
      </c>
      <c r="G180" s="9">
        <f t="shared" si="7"/>
        <v>1.325861663418591E-7</v>
      </c>
      <c r="H180" s="20">
        <f t="shared" si="8"/>
        <v>1.3258616634185908E-2</v>
      </c>
    </row>
    <row r="181" spans="5:8" x14ac:dyDescent="0.3">
      <c r="E181" s="9">
        <v>178</v>
      </c>
      <c r="F181" s="10">
        <f t="shared" si="6"/>
        <v>5.5415444522474386</v>
      </c>
      <c r="G181" s="9">
        <f t="shared" si="7"/>
        <v>1.3184130023881493E-7</v>
      </c>
      <c r="H181" s="20">
        <f t="shared" si="8"/>
        <v>1.3184130023881491E-2</v>
      </c>
    </row>
    <row r="182" spans="5:8" x14ac:dyDescent="0.3">
      <c r="E182" s="9">
        <v>179</v>
      </c>
      <c r="F182" s="10">
        <f t="shared" si="6"/>
        <v>5.5447165473643008</v>
      </c>
      <c r="G182" s="9">
        <f t="shared" si="7"/>
        <v>1.3110475666206175E-7</v>
      </c>
      <c r="H182" s="20">
        <f t="shared" si="8"/>
        <v>1.3110475666206175E-2</v>
      </c>
    </row>
    <row r="183" spans="5:8" x14ac:dyDescent="0.3">
      <c r="E183" s="9">
        <v>180</v>
      </c>
      <c r="F183" s="10">
        <f t="shared" si="6"/>
        <v>5.5478709705504023</v>
      </c>
      <c r="G183" s="9">
        <f t="shared" si="7"/>
        <v>1.303763969028281E-7</v>
      </c>
      <c r="H183" s="20">
        <f t="shared" si="8"/>
        <v>1.3037639690282809E-2</v>
      </c>
    </row>
    <row r="184" spans="5:8" x14ac:dyDescent="0.3">
      <c r="E184" s="9">
        <v>181</v>
      </c>
      <c r="F184" s="10">
        <f t="shared" si="6"/>
        <v>5.5510079176181231</v>
      </c>
      <c r="G184" s="9">
        <f t="shared" si="7"/>
        <v>1.296560853177296E-7</v>
      </c>
      <c r="H184" s="20">
        <f t="shared" si="8"/>
        <v>1.2965608531772957E-2</v>
      </c>
    </row>
    <row r="185" spans="5:8" x14ac:dyDescent="0.3">
      <c r="E185" s="9">
        <v>182</v>
      </c>
      <c r="F185" s="10">
        <f t="shared" si="6"/>
        <v>5.5541275811432396</v>
      </c>
      <c r="G185" s="9">
        <f t="shared" si="7"/>
        <v>1.2894368924455528E-7</v>
      </c>
      <c r="H185" s="20">
        <f t="shared" si="8"/>
        <v>1.2894368924455526E-2</v>
      </c>
    </row>
    <row r="186" spans="5:8" x14ac:dyDescent="0.3">
      <c r="E186" s="9">
        <v>183</v>
      </c>
      <c r="F186" s="10">
        <f t="shared" si="6"/>
        <v>5.5572301505358661</v>
      </c>
      <c r="G186" s="9">
        <f t="shared" si="7"/>
        <v>1.2823907892081453E-7</v>
      </c>
      <c r="H186" s="20">
        <f t="shared" si="8"/>
        <v>1.2823907892081451E-2</v>
      </c>
    </row>
    <row r="187" spans="5:8" x14ac:dyDescent="0.3">
      <c r="E187" s="9">
        <v>184</v>
      </c>
      <c r="F187" s="10">
        <f t="shared" si="6"/>
        <v>5.560315812109466</v>
      </c>
      <c r="G187" s="9">
        <f t="shared" si="7"/>
        <v>1.2754212740494051E-7</v>
      </c>
      <c r="H187" s="20">
        <f t="shared" si="8"/>
        <v>1.2754212740494051E-2</v>
      </c>
    </row>
    <row r="188" spans="5:8" x14ac:dyDescent="0.3">
      <c r="E188" s="9">
        <v>185</v>
      </c>
      <c r="F188" s="10">
        <f t="shared" si="6"/>
        <v>5.5633847491479829</v>
      </c>
      <c r="G188" s="9">
        <f t="shared" si="7"/>
        <v>1.2685271050004896E-7</v>
      </c>
      <c r="H188" s="20">
        <f t="shared" si="8"/>
        <v>1.2685271050004894E-2</v>
      </c>
    </row>
    <row r="189" spans="5:8" x14ac:dyDescent="0.3">
      <c r="E189" s="9">
        <v>186</v>
      </c>
      <c r="F189" s="10">
        <f t="shared" si="6"/>
        <v>5.5664371419711713</v>
      </c>
      <c r="G189" s="9">
        <f t="shared" si="7"/>
        <v>1.2617070668015622E-7</v>
      </c>
      <c r="H189" s="20">
        <f t="shared" si="8"/>
        <v>1.261707066801562E-2</v>
      </c>
    </row>
    <row r="190" spans="5:8" x14ac:dyDescent="0.3">
      <c r="E190" s="9">
        <v>187</v>
      </c>
      <c r="F190" s="10">
        <f t="shared" si="6"/>
        <v>5.5694731679981739</v>
      </c>
      <c r="G190" s="9">
        <f t="shared" si="7"/>
        <v>1.2549599701876503E-7</v>
      </c>
      <c r="H190" s="20">
        <f t="shared" si="8"/>
        <v>1.2549599701876501E-2</v>
      </c>
    </row>
    <row r="191" spans="5:8" x14ac:dyDescent="0.3">
      <c r="E191" s="9">
        <v>188</v>
      </c>
      <c r="F191" s="10">
        <f t="shared" si="6"/>
        <v>5.5724930018093959</v>
      </c>
      <c r="G191" s="9">
        <f t="shared" si="7"/>
        <v>1.2482846511972901E-7</v>
      </c>
      <c r="H191" s="20">
        <f t="shared" si="8"/>
        <v>1.24828465119729E-2</v>
      </c>
    </row>
    <row r="192" spans="5:8" x14ac:dyDescent="0.3">
      <c r="E192" s="9">
        <v>189</v>
      </c>
      <c r="F192" s="10">
        <f t="shared" si="6"/>
        <v>5.5754968152067512</v>
      </c>
      <c r="G192" s="9">
        <f t="shared" si="7"/>
        <v>1.2416799705031245E-7</v>
      </c>
      <c r="H192" s="20">
        <f t="shared" si="8"/>
        <v>1.2416799705031244E-2</v>
      </c>
    </row>
    <row r="193" spans="5:8" x14ac:dyDescent="0.3">
      <c r="E193" s="9">
        <v>190</v>
      </c>
      <c r="F193" s="10">
        <f t="shared" si="6"/>
        <v>5.5784847772723092</v>
      </c>
      <c r="G193" s="9">
        <f t="shared" si="7"/>
        <v>1.2351448127636345E-7</v>
      </c>
      <c r="H193" s="20">
        <f t="shared" si="8"/>
        <v>1.2351448127636345E-2</v>
      </c>
    </row>
    <row r="194" spans="5:8" x14ac:dyDescent="0.3">
      <c r="E194" s="9">
        <v>191</v>
      </c>
      <c r="F194" s="10">
        <f t="shared" si="6"/>
        <v>5.5814570544254032</v>
      </c>
      <c r="G194" s="9">
        <f t="shared" si="7"/>
        <v>1.2286780859952386E-7</v>
      </c>
      <c r="H194" s="20">
        <f t="shared" si="8"/>
        <v>1.2286780859952384E-2</v>
      </c>
    </row>
    <row r="195" spans="5:8" x14ac:dyDescent="0.3">
      <c r="E195" s="9">
        <v>192</v>
      </c>
      <c r="F195" s="10">
        <f t="shared" si="6"/>
        <v>5.5844138104782521</v>
      </c>
      <c r="G195" s="9">
        <f t="shared" si="7"/>
        <v>1.2222787209640131E-7</v>
      </c>
      <c r="H195" s="20">
        <f t="shared" si="8"/>
        <v>1.222278720964013E-2</v>
      </c>
    </row>
    <row r="196" spans="5:8" x14ac:dyDescent="0.3">
      <c r="E196" s="9">
        <v>193</v>
      </c>
      <c r="F196" s="10">
        <f t="shared" ref="F196:F203" si="9">($B$7/$B$3)*LOG(E196/$B$5)</f>
        <v>5.587355206690134</v>
      </c>
      <c r="G196" s="9">
        <f t="shared" ref="G196:G203" si="10">$B$10*$B$7/($B$3*E196)</f>
        <v>1.2159456705963241E-7</v>
      </c>
      <c r="H196" s="20">
        <f t="shared" ref="H196:H203" si="11">$B$12*$B$7/(E196*$B$3)</f>
        <v>1.215945670596324E-2</v>
      </c>
    </row>
    <row r="197" spans="5:8" x14ac:dyDescent="0.3">
      <c r="E197" s="9">
        <v>194</v>
      </c>
      <c r="F197" s="10">
        <f t="shared" si="9"/>
        <v>5.5902814018201612</v>
      </c>
      <c r="G197" s="9">
        <f t="shared" si="10"/>
        <v>1.2096779094076832E-7</v>
      </c>
      <c r="H197" s="20">
        <f t="shared" si="11"/>
        <v>1.2096779094076832E-2</v>
      </c>
    </row>
    <row r="198" spans="5:8" x14ac:dyDescent="0.3">
      <c r="E198" s="9">
        <v>195</v>
      </c>
      <c r="F198" s="10">
        <f t="shared" si="9"/>
        <v>5.5931925521786958</v>
      </c>
      <c r="G198" s="9">
        <f t="shared" si="10"/>
        <v>1.2034744329491824E-7</v>
      </c>
      <c r="H198" s="20">
        <f t="shared" si="11"/>
        <v>1.2034744329491823E-2</v>
      </c>
    </row>
    <row r="199" spans="5:8" x14ac:dyDescent="0.3">
      <c r="E199" s="9">
        <v>196</v>
      </c>
      <c r="F199" s="10">
        <f t="shared" si="9"/>
        <v>5.5960888116774559</v>
      </c>
      <c r="G199" s="9">
        <f t="shared" si="10"/>
        <v>1.1973342572708703E-7</v>
      </c>
      <c r="H199" s="20">
        <f t="shared" si="11"/>
        <v>1.1973342572708701E-2</v>
      </c>
    </row>
    <row r="200" spans="5:8" x14ac:dyDescent="0.3">
      <c r="E200" s="9">
        <v>197</v>
      </c>
      <c r="F200" s="10">
        <f t="shared" si="9"/>
        <v>5.5989703318783421</v>
      </c>
      <c r="G200" s="9">
        <f t="shared" si="10"/>
        <v>1.1912564184014748E-7</v>
      </c>
      <c r="H200" s="20">
        <f t="shared" si="11"/>
        <v>1.1912564184014747E-2</v>
      </c>
    </row>
    <row r="201" spans="5:8" x14ac:dyDescent="0.3">
      <c r="E201" s="9">
        <v>198</v>
      </c>
      <c r="F201" s="10">
        <f t="shared" si="9"/>
        <v>5.6018372620410277</v>
      </c>
      <c r="G201" s="9">
        <f t="shared" si="10"/>
        <v>1.1852399718438917E-7</v>
      </c>
      <c r="H201" s="20">
        <f t="shared" si="11"/>
        <v>1.1852399718438916E-2</v>
      </c>
    </row>
    <row r="202" spans="5:8" x14ac:dyDescent="0.3">
      <c r="E202" s="9">
        <v>199</v>
      </c>
      <c r="F202" s="10">
        <f t="shared" si="9"/>
        <v>5.6046897491693546</v>
      </c>
      <c r="G202" s="9">
        <f t="shared" si="10"/>
        <v>1.1792839920858822E-7</v>
      </c>
      <c r="H202" s="20">
        <f t="shared" si="11"/>
        <v>1.1792839920858821E-2</v>
      </c>
    </row>
    <row r="203" spans="5:8" x14ac:dyDescent="0.3">
      <c r="E203" s="9">
        <v>200</v>
      </c>
      <c r="F203" s="10">
        <f t="shared" si="9"/>
        <v>5.6075279380565624</v>
      </c>
      <c r="G203" s="9">
        <f t="shared" si="10"/>
        <v>1.1733875721254528E-7</v>
      </c>
      <c r="H203" s="20">
        <f t="shared" si="11"/>
        <v>1.1733875721254528E-2</v>
      </c>
    </row>
  </sheetData>
  <mergeCells count="1">
    <mergeCell ref="I2:J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H36"/>
  <sheetViews>
    <sheetView zoomScaleNormal="100" workbookViewId="0">
      <selection activeCell="E26" sqref="E26"/>
    </sheetView>
  </sheetViews>
  <sheetFormatPr defaultColWidth="9.109375" defaultRowHeight="14.4" x14ac:dyDescent="0.3"/>
  <cols>
    <col min="1" max="1" width="9.109375" style="1"/>
    <col min="2" max="2" width="10.109375" style="1" bestFit="1" customWidth="1"/>
    <col min="3" max="3" width="9.109375" style="1"/>
    <col min="4" max="4" width="15.5546875" style="1" customWidth="1"/>
    <col min="5" max="5" width="9.109375" style="1"/>
    <col min="6" max="6" width="16.44140625" style="1" customWidth="1"/>
    <col min="7" max="7" width="15.88671875" style="1" customWidth="1"/>
    <col min="8" max="16384" width="9.109375" style="1"/>
  </cols>
  <sheetData>
    <row r="1" spans="2:8" ht="16.2" x14ac:dyDescent="0.3">
      <c r="C1" s="8" t="s">
        <v>41</v>
      </c>
      <c r="D1" s="9">
        <v>18</v>
      </c>
      <c r="E1" s="9" t="s">
        <v>102</v>
      </c>
    </row>
    <row r="3" spans="2:8" ht="42" customHeight="1" x14ac:dyDescent="0.3">
      <c r="B3" s="37" t="s">
        <v>103</v>
      </c>
      <c r="C3" s="38" t="s">
        <v>38</v>
      </c>
      <c r="D3" s="38" t="s">
        <v>39</v>
      </c>
      <c r="E3" s="39" t="s">
        <v>104</v>
      </c>
      <c r="F3" s="38" t="s">
        <v>40</v>
      </c>
      <c r="G3" s="38" t="s">
        <v>42</v>
      </c>
      <c r="H3" s="38" t="s">
        <v>43</v>
      </c>
    </row>
    <row r="4" spans="2:8" x14ac:dyDescent="0.3">
      <c r="B4" s="9"/>
      <c r="C4" s="9">
        <v>0</v>
      </c>
      <c r="D4" s="35">
        <v>0</v>
      </c>
      <c r="E4" s="41">
        <v>5.6192000000000002</v>
      </c>
      <c r="F4" s="9"/>
      <c r="G4" s="9"/>
      <c r="H4" s="9">
        <v>0</v>
      </c>
    </row>
    <row r="5" spans="2:8" x14ac:dyDescent="0.3">
      <c r="B5" s="9">
        <v>1</v>
      </c>
      <c r="C5" s="9">
        <v>0.5</v>
      </c>
      <c r="D5" s="36">
        <v>3.7599999999999999E-3</v>
      </c>
      <c r="E5" s="42">
        <v>6.8094000000000001</v>
      </c>
      <c r="F5" s="16">
        <f>((E4+E5)/2)*(C5-C4)*60*60/($D$1*10^6)</f>
        <v>6.2142999999999996E-4</v>
      </c>
      <c r="G5" s="16">
        <f>D5-F5</f>
        <v>3.1385699999999998E-3</v>
      </c>
      <c r="H5" s="16">
        <f>G5</f>
        <v>3.1385699999999998E-3</v>
      </c>
    </row>
    <row r="6" spans="2:8" x14ac:dyDescent="0.3">
      <c r="B6" s="9">
        <v>2</v>
      </c>
      <c r="C6" s="9">
        <v>1</v>
      </c>
      <c r="D6" s="36">
        <v>6.5100000000000002E-3</v>
      </c>
      <c r="E6" s="42">
        <v>7.8335999999999997</v>
      </c>
      <c r="F6" s="16">
        <f t="shared" ref="F6:F20" si="0">((E5+E6)/2)*(C6-C5)*60*60/($D$1*10^6)</f>
        <v>7.3214999999999999E-4</v>
      </c>
      <c r="G6" s="16">
        <f>D6-F6</f>
        <v>5.7778500000000002E-3</v>
      </c>
      <c r="H6" s="16">
        <f>H5+G6</f>
        <v>8.9164199999999996E-3</v>
      </c>
    </row>
    <row r="7" spans="2:8" x14ac:dyDescent="0.3">
      <c r="B7" s="9">
        <v>3</v>
      </c>
      <c r="C7" s="9">
        <v>1.5</v>
      </c>
      <c r="D7" s="36">
        <v>3.3300000000000003E-2</v>
      </c>
      <c r="E7" s="42">
        <v>22.919599999999999</v>
      </c>
      <c r="F7" s="16">
        <f t="shared" si="0"/>
        <v>1.5376600000000002E-3</v>
      </c>
      <c r="G7" s="9">
        <f t="shared" ref="G7:G20" si="1">D7-F7</f>
        <v>3.176234E-2</v>
      </c>
      <c r="H7" s="9">
        <f t="shared" ref="H7:H20" si="2">H6+G7</f>
        <v>4.0678760000000001E-2</v>
      </c>
    </row>
    <row r="8" spans="2:8" x14ac:dyDescent="0.3">
      <c r="B8" s="9">
        <v>4</v>
      </c>
      <c r="C8" s="9">
        <v>2</v>
      </c>
      <c r="D8" s="36">
        <v>5.509E-2</v>
      </c>
      <c r="E8" s="42">
        <v>64.302099999999996</v>
      </c>
      <c r="F8" s="16">
        <f t="shared" si="0"/>
        <v>4.3610849999999998E-3</v>
      </c>
      <c r="G8" s="9">
        <f t="shared" si="1"/>
        <v>5.0728914999999999E-2</v>
      </c>
      <c r="H8" s="9">
        <f t="shared" si="2"/>
        <v>9.1407674999999994E-2</v>
      </c>
    </row>
    <row r="9" spans="2:8" x14ac:dyDescent="0.3">
      <c r="B9" s="9">
        <v>5</v>
      </c>
      <c r="C9" s="9">
        <v>2.5</v>
      </c>
      <c r="D9" s="36">
        <v>5.2080000000000001E-2</v>
      </c>
      <c r="E9" s="42">
        <v>157.69659999999999</v>
      </c>
      <c r="F9" s="16">
        <f t="shared" si="0"/>
        <v>1.1099935E-2</v>
      </c>
      <c r="G9" s="9">
        <f t="shared" si="1"/>
        <v>4.0980065000000003E-2</v>
      </c>
      <c r="H9" s="9">
        <f t="shared" si="2"/>
        <v>0.13238774</v>
      </c>
    </row>
    <row r="10" spans="2:8" x14ac:dyDescent="0.3">
      <c r="B10" s="9">
        <v>6</v>
      </c>
      <c r="C10" s="9">
        <v>3</v>
      </c>
      <c r="D10" s="36">
        <v>5.0099999999999997E-3</v>
      </c>
      <c r="E10" s="42">
        <v>263.82420000000002</v>
      </c>
      <c r="F10" s="16">
        <f t="shared" si="0"/>
        <v>2.1076039999999997E-2</v>
      </c>
      <c r="G10" s="9">
        <f t="shared" si="1"/>
        <v>-1.6066039999999997E-2</v>
      </c>
      <c r="H10" s="9">
        <f>H9+G10</f>
        <v>0.1163217</v>
      </c>
    </row>
    <row r="11" spans="2:8" x14ac:dyDescent="0.3">
      <c r="B11" s="9">
        <v>7</v>
      </c>
      <c r="C11" s="9">
        <v>3.5</v>
      </c>
      <c r="D11" s="36">
        <v>2.2499999999999998E-3</v>
      </c>
      <c r="E11" s="42">
        <v>305.17910000000001</v>
      </c>
      <c r="F11" s="16">
        <f t="shared" si="0"/>
        <v>2.8450165000000006E-2</v>
      </c>
      <c r="G11" s="9">
        <f t="shared" si="1"/>
        <v>-2.6200165000000008E-2</v>
      </c>
      <c r="H11" s="9">
        <f t="shared" si="2"/>
        <v>9.0121534999999989E-2</v>
      </c>
    </row>
    <row r="12" spans="2:8" x14ac:dyDescent="0.3">
      <c r="B12" s="9">
        <v>8</v>
      </c>
      <c r="C12" s="9">
        <v>4</v>
      </c>
      <c r="D12" s="36"/>
      <c r="E12" s="42">
        <v>227.92240000000001</v>
      </c>
      <c r="F12" s="16">
        <f t="shared" si="0"/>
        <v>2.6655075E-2</v>
      </c>
      <c r="G12" s="9">
        <f t="shared" si="1"/>
        <v>-2.6655075E-2</v>
      </c>
      <c r="H12" s="9">
        <f t="shared" si="2"/>
        <v>6.3466459999999988E-2</v>
      </c>
    </row>
    <row r="13" spans="2:8" x14ac:dyDescent="0.3">
      <c r="B13" s="9">
        <v>9</v>
      </c>
      <c r="C13" s="9">
        <v>4.5</v>
      </c>
      <c r="D13" s="36"/>
      <c r="E13" s="42">
        <v>119.608</v>
      </c>
      <c r="F13" s="16">
        <f t="shared" si="0"/>
        <v>1.7376519999999999E-2</v>
      </c>
      <c r="G13" s="9">
        <f t="shared" si="1"/>
        <v>-1.7376519999999999E-2</v>
      </c>
      <c r="H13" s="9">
        <f t="shared" si="2"/>
        <v>4.6089939999999989E-2</v>
      </c>
    </row>
    <row r="14" spans="2:8" x14ac:dyDescent="0.3">
      <c r="B14" s="9">
        <v>10</v>
      </c>
      <c r="C14" s="9">
        <v>5</v>
      </c>
      <c r="D14" s="36"/>
      <c r="E14" s="42">
        <v>62.170699999999997</v>
      </c>
      <c r="F14" s="16">
        <f t="shared" si="0"/>
        <v>9.0889350000000011E-3</v>
      </c>
      <c r="G14" s="9">
        <f t="shared" si="1"/>
        <v>-9.0889350000000011E-3</v>
      </c>
      <c r="H14" s="9">
        <f t="shared" si="2"/>
        <v>3.700100499999999E-2</v>
      </c>
    </row>
    <row r="15" spans="2:8" x14ac:dyDescent="0.3">
      <c r="B15" s="9">
        <v>11</v>
      </c>
      <c r="C15" s="9">
        <v>5.5</v>
      </c>
      <c r="D15" s="36"/>
      <c r="E15" s="42">
        <v>49.880499999999998</v>
      </c>
      <c r="F15" s="16">
        <f t="shared" si="0"/>
        <v>5.6025600000000004E-3</v>
      </c>
      <c r="G15" s="9">
        <f t="shared" si="1"/>
        <v>-5.6025600000000004E-3</v>
      </c>
      <c r="H15" s="9">
        <f t="shared" si="2"/>
        <v>3.139844499999999E-2</v>
      </c>
    </row>
    <row r="16" spans="2:8" x14ac:dyDescent="0.3">
      <c r="B16" s="9">
        <v>12</v>
      </c>
      <c r="C16" s="9">
        <v>6</v>
      </c>
      <c r="D16" s="36"/>
      <c r="E16" s="42">
        <v>34.047199999999997</v>
      </c>
      <c r="F16" s="16">
        <f t="shared" si="0"/>
        <v>4.1963849999999995E-3</v>
      </c>
      <c r="G16" s="9">
        <f t="shared" si="1"/>
        <v>-4.1963849999999995E-3</v>
      </c>
      <c r="H16" s="9">
        <f t="shared" si="2"/>
        <v>2.720205999999999E-2</v>
      </c>
    </row>
    <row r="17" spans="2:8" x14ac:dyDescent="0.3">
      <c r="B17" s="9">
        <v>13</v>
      </c>
      <c r="C17" s="9">
        <v>6.5</v>
      </c>
      <c r="D17" s="36"/>
      <c r="E17" s="42">
        <v>19.7363</v>
      </c>
      <c r="F17" s="16">
        <f t="shared" si="0"/>
        <v>2.6891749999999998E-3</v>
      </c>
      <c r="G17" s="9">
        <f t="shared" si="1"/>
        <v>-2.6891749999999998E-3</v>
      </c>
      <c r="H17" s="9">
        <f t="shared" si="2"/>
        <v>2.4512884999999991E-2</v>
      </c>
    </row>
    <row r="18" spans="2:8" x14ac:dyDescent="0.3">
      <c r="B18" s="9">
        <v>14</v>
      </c>
      <c r="C18" s="9">
        <v>7</v>
      </c>
      <c r="D18" s="36"/>
      <c r="E18" s="42">
        <v>10.9062</v>
      </c>
      <c r="F18" s="16">
        <f t="shared" si="0"/>
        <v>1.5321250000000001E-3</v>
      </c>
      <c r="G18" s="9">
        <f t="shared" si="1"/>
        <v>-1.5321250000000001E-3</v>
      </c>
      <c r="H18" s="9">
        <f t="shared" si="2"/>
        <v>2.2980759999999992E-2</v>
      </c>
    </row>
    <row r="19" spans="2:8" x14ac:dyDescent="0.3">
      <c r="B19" s="9">
        <v>15</v>
      </c>
      <c r="C19" s="9">
        <v>7.5</v>
      </c>
      <c r="D19" s="36"/>
      <c r="E19" s="42">
        <v>9.7988999999999997</v>
      </c>
      <c r="F19" s="16">
        <f t="shared" si="0"/>
        <v>1.0352550000000001E-3</v>
      </c>
      <c r="G19" s="9">
        <f t="shared" si="1"/>
        <v>-1.0352550000000001E-3</v>
      </c>
      <c r="H19" s="9">
        <f t="shared" si="2"/>
        <v>2.1945504999999994E-2</v>
      </c>
    </row>
    <row r="20" spans="2:8" x14ac:dyDescent="0.3">
      <c r="B20" s="9">
        <v>16</v>
      </c>
      <c r="C20" s="9">
        <v>8</v>
      </c>
      <c r="D20" s="36"/>
      <c r="E20" s="36">
        <v>8.3872</v>
      </c>
      <c r="F20" s="16">
        <f t="shared" si="0"/>
        <v>9.0930500000000001E-4</v>
      </c>
      <c r="G20" s="9">
        <f t="shared" si="1"/>
        <v>-9.0930500000000001E-4</v>
      </c>
      <c r="H20" s="9">
        <f t="shared" si="2"/>
        <v>2.1036199999999994E-2</v>
      </c>
    </row>
    <row r="21" spans="2:8" x14ac:dyDescent="0.3">
      <c r="B21" s="37" t="s">
        <v>37</v>
      </c>
      <c r="D21" s="40">
        <f>SUM(D4:D11)</f>
        <v>0.15799999999999997</v>
      </c>
      <c r="E21" s="12"/>
      <c r="F21" s="40">
        <f>SUM(F4:F20)</f>
        <v>0.1369638</v>
      </c>
      <c r="G21" s="12"/>
    </row>
    <row r="26" spans="2:8" x14ac:dyDescent="0.3">
      <c r="D26" s="13"/>
      <c r="E26" s="13"/>
    </row>
    <row r="27" spans="2:8" x14ac:dyDescent="0.3">
      <c r="D27" s="13"/>
      <c r="E27" s="13"/>
    </row>
    <row r="28" spans="2:8" x14ac:dyDescent="0.3">
      <c r="D28" s="13"/>
      <c r="E28" s="13"/>
    </row>
    <row r="29" spans="2:8" x14ac:dyDescent="0.3">
      <c r="D29" s="13"/>
      <c r="E29" s="13"/>
    </row>
    <row r="30" spans="2:8" x14ac:dyDescent="0.3">
      <c r="B30" s="13"/>
    </row>
    <row r="31" spans="2:8" x14ac:dyDescent="0.3">
      <c r="E31" s="13"/>
    </row>
    <row r="32" spans="2:8" x14ac:dyDescent="0.3">
      <c r="E32" s="13"/>
    </row>
    <row r="33" spans="5:5" x14ac:dyDescent="0.3">
      <c r="E33" s="13"/>
    </row>
    <row r="34" spans="5:5" x14ac:dyDescent="0.3">
      <c r="E34" s="13"/>
    </row>
    <row r="35" spans="5:5" x14ac:dyDescent="0.3">
      <c r="E35" s="13"/>
    </row>
    <row r="36" spans="5:5" x14ac:dyDescent="0.3">
      <c r="E36" s="13"/>
    </row>
  </sheetData>
  <sortState ref="D26:D29">
    <sortCondition ref="D2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 t et s connue (p.24)</vt:lpstr>
      <vt:lpstr>Calcul de l'humidite (p.25)</vt:lpstr>
      <vt:lpstr>Quantite d'eau (p.27)</vt:lpstr>
      <vt:lpstr>Epaisseur entre2isobares(p. 53)</vt:lpstr>
      <vt:lpstr>Vent geostrophique(p.59)</vt:lpstr>
      <vt:lpstr>Couche limite atm. (page63) </vt:lpstr>
      <vt:lpstr>Ecoulement (page172)</vt:lpstr>
    </vt:vector>
  </TitlesOfParts>
  <Company>sahar_computers@yahoo.com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Charbel</dc:creator>
  <cp:lastModifiedBy>toshiba1</cp:lastModifiedBy>
  <dcterms:created xsi:type="dcterms:W3CDTF">2014-10-25T19:11:06Z</dcterms:created>
  <dcterms:modified xsi:type="dcterms:W3CDTF">2016-11-12T09:25:46Z</dcterms:modified>
</cp:coreProperties>
</file>